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qJbqxHsCmNwT7uNsP29s8VJgQ3s5YzaiTDk+ZXICtXZks1K9G7AmZsnn6Pos24xHoiUE9iDQ1Hiw3mhnBuzW7Q==" workbookSaltValue="hBgQqaiAin05cR7cPOoUJ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L18" i="2" s="1"/>
  <c r="K17" i="2"/>
  <c r="K16" i="2"/>
  <c r="K20" i="2" s="1"/>
  <c r="K13" i="2"/>
  <c r="K12" i="2"/>
  <c r="L12" i="2" s="1"/>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AL16" i="11" s="1"/>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Y14" i="8" s="1"/>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D20" i="12"/>
  <c r="ER21" i="8"/>
  <c r="N19" i="11"/>
  <c r="AE14" i="21"/>
  <c r="EL21" i="8"/>
  <c r="EQ21" i="8"/>
  <c r="EN21" i="8"/>
  <c r="K20" i="11"/>
  <c r="BA14" i="16"/>
  <c r="N10" i="11"/>
  <c r="N9" i="11"/>
  <c r="ES21" i="8"/>
  <c r="G20" i="12"/>
  <c r="AQ19" i="11"/>
  <c r="R8" i="9"/>
  <c r="X12" i="21" s="1"/>
  <c r="AK21" i="8"/>
  <c r="EP21" i="8"/>
  <c r="ER21" i="13"/>
  <c r="AL14" i="16"/>
  <c r="EP21" i="19"/>
  <c r="BF11" i="11"/>
  <c r="BH11" i="16"/>
  <c r="V16" i="11"/>
  <c r="BF13" i="11"/>
  <c r="BJ18" i="11"/>
  <c r="BH16" i="11"/>
  <c r="BF19" i="11"/>
  <c r="BH19" i="16"/>
  <c r="BJ19" i="11"/>
  <c r="P18" i="17"/>
  <c r="BL18" i="11"/>
  <c r="BK12" i="11"/>
  <c r="BF17" i="11"/>
  <c r="AO16" i="17"/>
  <c r="S18" i="16"/>
  <c r="BL12" i="11"/>
  <c r="S14" i="16"/>
  <c r="P14" i="16"/>
  <c r="Z14" i="17"/>
  <c r="F18" i="17"/>
  <c r="AQ18" i="17" s="1"/>
  <c r="M14" i="2"/>
  <c r="F14" i="7"/>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BG16" i="8"/>
  <c r="K16" i="7" s="1"/>
  <c r="BD9" i="8"/>
  <c r="BE9" i="8"/>
  <c r="S16" i="17"/>
  <c r="E14" i="17"/>
  <c r="AH14" i="16"/>
  <c r="X19" i="16"/>
  <c r="L19" i="2"/>
  <c r="U9" i="17"/>
  <c r="U21" i="17" s="1"/>
  <c r="L9" i="2"/>
  <c r="T14" i="20"/>
  <c r="V9" i="16"/>
  <c r="T20" i="17"/>
  <c r="BF16" i="13"/>
  <c r="BG16" i="13"/>
  <c r="BB20" i="13"/>
  <c r="BE17" i="13"/>
  <c r="BE16" i="13"/>
  <c r="BF17" i="13"/>
  <c r="AC22" i="20"/>
  <c r="U10" i="11"/>
  <c r="W22" i="21"/>
  <c r="AF22" i="20"/>
  <c r="U18" i="11"/>
  <c r="AL22" i="20"/>
  <c r="AE22" i="20"/>
  <c r="AG22" i="20"/>
  <c r="L22" i="20"/>
  <c r="M22" i="20"/>
  <c r="N22" i="20"/>
  <c r="K22" i="20"/>
  <c r="Y22" i="20"/>
  <c r="AA22" i="20"/>
  <c r="U12" i="11"/>
  <c r="AQ22" i="21"/>
  <c r="U17" i="11"/>
  <c r="AQ22" i="20"/>
  <c r="G14" i="14"/>
  <c r="W22" i="20"/>
  <c r="AW20" i="21" l="1"/>
  <c r="AE21" i="8"/>
  <c r="R21" i="8"/>
  <c r="BG10" i="8"/>
  <c r="K10" i="7" s="1"/>
  <c r="F13" i="2"/>
  <c r="H12" i="2"/>
  <c r="B19" i="6"/>
  <c r="M20" i="2"/>
  <c r="N20" i="2"/>
  <c r="T9" i="1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AB22" i="20"/>
  <c r="R22" i="20"/>
  <c r="O10" i="11"/>
  <c r="X22" i="20"/>
  <c r="AN22" i="20"/>
  <c r="T22" i="20"/>
  <c r="AD22" i="20"/>
  <c r="AP22" i="20"/>
  <c r="AI22" i="20"/>
  <c r="Q22" i="20"/>
  <c r="T22" i="21"/>
  <c r="AZ22" i="20"/>
  <c r="O18" i="11"/>
  <c r="AX22" i="20"/>
  <c r="H22" i="20"/>
  <c r="G20" i="14"/>
  <c r="O22" i="20"/>
  <c r="Z22" i="20"/>
  <c r="AJ22" i="20"/>
  <c r="F22" i="20"/>
  <c r="AV22" i="20"/>
  <c r="O17" i="11"/>
  <c r="E22" i="20"/>
  <c r="AK22" i="20"/>
  <c r="AH22" i="20"/>
  <c r="AU22" i="20"/>
  <c r="AM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Q22" i="21"/>
  <c r="AA22" i="16"/>
  <c r="U22" i="20"/>
  <c r="AA22" i="21"/>
  <c r="AW22" i="17"/>
  <c r="F22" i="16"/>
  <c r="W22" i="11"/>
  <c r="X22" i="21"/>
  <c r="AR22" i="20"/>
  <c r="R22" i="17"/>
  <c r="AM22" i="21"/>
  <c r="L22" i="21"/>
  <c r="AD22" i="17"/>
  <c r="AR22" i="21"/>
  <c r="AP22" i="16"/>
  <c r="AI22" i="11"/>
  <c r="O22" i="11"/>
  <c r="BD22" i="16"/>
  <c r="AF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U22" i="16"/>
  <c r="AM22" i="16"/>
  <c r="U22" i="17"/>
  <c r="E22" i="16"/>
  <c r="AV22" i="17"/>
  <c r="BI22" i="16"/>
  <c r="F22" i="17"/>
  <c r="AL22" i="17"/>
  <c r="R22" i="11"/>
  <c r="AY22" i="11"/>
  <c r="S22" i="17"/>
  <c r="U22" i="21"/>
  <c r="S22" i="16"/>
  <c r="AR22" i="11"/>
  <c r="AB22" i="17"/>
  <c r="AK22" i="16"/>
  <c r="N22" i="16"/>
  <c r="Q22" i="17"/>
  <c r="M22" i="17"/>
  <c r="S22" i="11"/>
  <c r="S22" i="21"/>
  <c r="E22" i="17"/>
  <c r="AT22" i="17"/>
  <c r="M22" i="21"/>
  <c r="P22" i="11"/>
  <c r="AU22" i="16"/>
  <c r="BQ22" i="16"/>
  <c r="AI22" i="16"/>
  <c r="L22" i="11"/>
  <c r="F22" i="11"/>
  <c r="AY22" i="16"/>
  <c r="AB22" i="16"/>
  <c r="N22" i="17"/>
  <c r="AW22" i="21"/>
  <c r="Y22" i="16"/>
  <c r="V22" i="16"/>
  <c r="I22" i="17"/>
  <c r="AG22" i="16"/>
  <c r="AN22" i="21"/>
  <c r="Q22" i="16"/>
  <c r="AO22" i="17"/>
  <c r="AW22" i="16"/>
  <c r="AK22" i="21"/>
  <c r="Z22" i="17"/>
  <c r="V22" i="17"/>
  <c r="BD21" i="8" l="1"/>
  <c r="AQ22" i="17"/>
  <c r="AT22" i="21"/>
  <c r="BL22" i="16"/>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<sst xmlns="http://schemas.openxmlformats.org/spreadsheetml/2006/main" count="2229" uniqueCount="979">
  <si>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</si>
  <si>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</si>
  <si>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</si>
  <si>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</si>
  <si>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</si>
  <si>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</si>
  <si>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</si>
  <si>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</si>
  <si>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</si>
  <si>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</si>
  <si>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</si>
  <si>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</si>
  <si>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</si>
  <si>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</si>
  <si>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</si>
  <si>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</si>
  <si>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</si>
  <si>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</si>
  <si>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</si>
  <si>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</si>
  <si>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</si>
  <si>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</si>
  <si>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</si>
  <si>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</si>
  <si>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</si>
  <si>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</si>
  <si>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</si>
  <si>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</si>
  <si>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</si>
  <si>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</si>
  <si>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</si>
  <si>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</si>
  <si>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</si>
  <si>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</si>
  <si>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</si>
  <si>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</si>
  <si>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</si>
  <si>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</si>
  <si>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</si>
  <si>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</si>
  <si>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</si>
  <si>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</si>
  <si>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</si>
  <si>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</si>
  <si>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</si>
  <si>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</si>
  <si>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</si>
  <si>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</si>
  <si>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</si>
  <si>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</si>
  <si>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</si>
  <si>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</si>
  <si>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</si>
  <si>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</si>
  <si>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</si>
  <si>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</si>
  <si>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</si>
  <si>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</si>
  <si>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</si>
  <si>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</si>
  <si>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</si>
  <si>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</si>
  <si>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</si>
  <si>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</si>
  <si>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</si>
  <si>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</si>
  <si>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</si>
  <si>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</si>
  <si>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</si>
  <si>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</si>
  <si>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</si>
  <si>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</si>
  <si>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</si>
  <si>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</si>
  <si>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</si>
  <si>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</si>
  <si>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</si>
  <si>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</si>
  <si>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</si>
  <si>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</si>
  <si>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</si>
  <si>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</si>
  <si>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</si>
  <si>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</si>
  <si>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</si>
  <si>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</si>
  <si>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</si>
  <si>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</si>
  <si>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</si>
  <si>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</si>
  <si>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</si>
  <si>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</si>
  <si>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</si>
  <si>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</si>
  <si>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</si>
  <si>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</si>
  <si>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</si>
  <si>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</si>
  <si>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</si>
  <si>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</si>
  <si>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</si>
  <si>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</si>
  <si>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</si>
  <si>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</si>
  <si>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</si>
  <si>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</si>
  <si>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</si>
  <si>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</si>
  <si>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</si>
  <si>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</si>
  <si>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</si>
  <si>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</si>
  <si>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</si>
  <si>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</si>
  <si>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</si>
  <si>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</si>
  <si>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</si>
  <si>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</si>
  <si>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</si>
  <si>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</si>
  <si>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</si>
  <si>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</si>
  <si>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</si>
  <si>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</si>
  <si>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</si>
  <si>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</si>
  <si>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</si>
  <si>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</si>
  <si>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</si>
  <si>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</si>
  <si>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</si>
  <si>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</si>
  <si>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</si>
  <si>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</si>
  <si>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</si>
  <si>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</si>
  <si>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</si>
  <si>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</si>
  <si>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</si>
  <si>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</si>
  <si>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</si>
  <si>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</si>
  <si>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</si>
  <si>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</si>
  <si>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</si>
  <si>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</si>
  <si>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</si>
  <si>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</si>
  <si>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</si>
  <si>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</si>
  <si>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</si>
  <si>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</si>
  <si>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</si>
  <si>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</si>
  <si>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</si>
  <si>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</si>
  <si>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</si>
  <si>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</si>
  <si>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</si>
  <si>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</si>
  <si>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</si>
  <si>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</si>
  <si>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</si>
  <si>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</si>
  <si>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</si>
  <si>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</si>
  <si>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</si>
  <si>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</si>
  <si>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</si>
  <si>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</si>
  <si>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</si>
  <si>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</si>
  <si>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</si>
  <si>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</si>
  <si>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</si>
  <si>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</si>
  <si>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</si>
  <si>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</si>
  <si>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</si>
  <si>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</si>
  <si>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</si>
  <si>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</si>
  <si>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</si>
  <si>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</si>
  <si>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</si>
  <si>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</si>
  <si>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</si>
  <si>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</si>
  <si>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</si>
  <si>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</si>
  <si>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</si>
  <si>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</si>
  <si>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</si>
  <si>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</si>
  <si>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</si>
  <si>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</si>
  <si>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</si>
  <si>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</si>
  <si>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</si>
  <si>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</si>
  <si>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</si>
  <si>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</si>
  <si>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</si>
  <si>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</si>
  <si>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</si>
  <si>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</si>
  <si>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</si>
  <si>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</si>
  <si>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</si>
  <si>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</si>
  <si>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</si>
  <si>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</si>
  <si>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</si>
  <si>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</si>
  <si>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</si>
  <si>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</si>
  <si>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</si>
  <si>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</si>
  <si>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</si>
  <si>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</si>
  <si>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</si>
  <si>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</si>
  <si>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</si>
  <si>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</si>
  <si>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</si>
  <si>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</si>
  <si>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</si>
  <si>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</si>
  <si>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</si>
  <si>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</si>
  <si>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</si>
  <si>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</si>
  <si>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</si>
  <si>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</si>
  <si>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</si>
  <si>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</si>
  <si>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</si>
  <si>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</si>
  <si>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</si>
  <si>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</si>
  <si>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</si>
  <si>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</si>
  <si>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</si>
  <si>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</si>
  <si>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</si>
  <si>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</si>
  <si>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</si>
  <si>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</si>
  <si>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</si>
  <si>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</si>
  <si>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</si>
  <si>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</si>
  <si>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</si>
  <si>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</si>
  <si>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</si>
  <si>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</si>
  <si>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</si>
  <si>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</si>
  <si>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</si>
  <si>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</si>
  <si>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</si>
  <si>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</si>
  <si>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</si>
  <si>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</si>
  <si>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</si>
  <si>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</si>
  <si>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</si>
  <si>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</si>
  <si>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</si>
  <si>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</si>
  <si>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</si>
  <si>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</si>
  <si>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</si>
  <si>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</si>
  <si>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</si>
  <si>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</si>
  <si>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</si>
  <si>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</si>
  <si>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</si>
  <si>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</si>
  <si>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</si>
  <si>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</si>
  <si>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</si>
  <si>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</si>
  <si>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</si>
  <si>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</si>
  <si>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</si>
  <si>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</si>
  <si>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</si>
  <si>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</si>
  <si>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</si>
  <si>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</si>
  <si>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</si>
  <si>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</si>
  <si>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</si>
  <si>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</si>
  <si>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</si>
  <si>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</si>
  <si>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</si>
  <si>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</si>
  <si>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</si>
  <si>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</si>
  <si>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</si>
  <si>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</si>
  <si>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</si>
  <si>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</si>
  <si>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</si>
  <si>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</si>
  <si>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</si>
  <si>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</si>
  <si>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</si>
  <si>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</si>
  <si>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</si>
  <si>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</si>
  <si>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</si>
  <si>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</si>
  <si>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</si>
  <si>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</si>
  <si>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</si>
  <si>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</si>
  <si>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</si>
  <si>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</si>
  <si>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</si>
  <si>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</si>
  <si>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</si>
  <si>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</si>
  <si>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</si>
  <si>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</si>
  <si>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</si>
  <si>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</si>
  <si>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</si>
  <si>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</si>
  <si>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</si>
  <si>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</si>
  <si>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</si>
  <si>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</si>
  <si>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</si>
  <si>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</si>
  <si>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</si>
  <si>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</si>
  <si>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</si>
  <si>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</si>
  <si>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</si>
  <si>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</si>
  <si>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</si>
  <si>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</si>
  <si>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</si>
  <si>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</si>
  <si>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</si>
  <si>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</si>
  <si>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</si>
  <si>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</si>
  <si>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</si>
  <si>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</si>
  <si>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</si>
  <si>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</si>
  <si>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</si>
  <si>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</si>
  <si>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</si>
  <si>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</si>
  <si>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</si>
  <si>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</si>
  <si>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</si>
  <si>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</si>
  <si>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</si>
  <si>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</si>
  <si>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</si>
  <si>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</si>
  <si>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</si>
  <si>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</si>
  <si>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</si>
  <si>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</si>
  <si>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</si>
  <si>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</si>
  <si>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</si>
  <si>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</si>
  <si>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</si>
  <si>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</si>
  <si>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</si>
  <si>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</si>
  <si>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</si>
  <si>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</si>
  <si>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</si>
  <si>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</si>
  <si>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</si>
  <si>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</si>
  <si>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</si>
  <si>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</si>
  <si>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</si>
  <si>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</si>
  <si>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</si>
  <si>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</si>
  <si>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</si>
  <si>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</si>
  <si>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</si>
  <si>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</si>
  <si>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</si>
  <si>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</si>
  <si>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</si>
  <si>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</si>
  <si>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</si>
  <si>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</si>
  <si>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</si>
  <si>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</si>
  <si>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</si>
  <si>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</si>
  <si>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</si>
  <si>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</si>
  <si>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</si>
  <si>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</si>
  <si>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</si>
  <si>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</si>
  <si>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</si>
  <si>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</si>
  <si>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</si>
  <si>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</si>
  <si>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</si>
  <si>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</si>
  <si>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</si>
  <si>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</si>
  <si>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</si>
  <si>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</si>
  <si>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</si>
  <si>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</si>
  <si>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</si>
  <si>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</si>
  <si>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</si>
  <si>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</si>
  <si>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</si>
  <si>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</si>
  <si>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</si>
  <si>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</si>
  <si>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</si>
  <si>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</si>
  <si>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</si>
  <si>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</si>
  <si>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</si>
  <si>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</si>
  <si>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</si>
  <si>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</si>
  <si>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</si>
  <si>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</si>
  <si>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</si>
  <si>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</si>
  <si>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</si>
  <si>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</si>
  <si>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</si>
  <si>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</si>
  <si>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</si>
  <si>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</si>
  <si>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</si>
  <si>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</si>
  <si>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</si>
  <si>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</si>
  <si>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</si>
  <si>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</si>
  <si>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</si>
  <si>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</si>
  <si>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</si>
  <si>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</si>
  <si>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</si>
  <si>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</si>
  <si>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</si>
  <si>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</si>
  <si>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</si>
  <si>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</si>
  <si>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</si>
  <si>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</si>
  <si>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</si>
  <si>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</si>
  <si>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</si>
  <si>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</si>
  <si>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</si>
  <si>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</si>
  <si>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</si>
  <si>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</si>
  <si>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</si>
  <si>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</si>
  <si>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</si>
  <si>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</si>
  <si>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</si>
  <si>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</si>
  <si>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</si>
  <si>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</si>
  <si>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</si>
  <si>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</si>
  <si>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</si>
  <si>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</si>
  <si>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</si>
  <si>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</si>
  <si>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</si>
  <si>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</si>
  <si>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</si>
  <si>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</si>
  <si>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</si>
  <si>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</si>
  <si>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</si>
  <si>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</si>
  <si>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</si>
  <si>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</si>
  <si>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</si>
  <si>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</si>
  <si>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</si>
  <si>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</si>
  <si>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</si>
  <si>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</si>
  <si>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</si>
  <si>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</si>
  <si>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</si>
  <si>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</si>
  <si>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</si>
  <si>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</si>
  <si>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</si>
  <si>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</si>
  <si>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</si>
  <si>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</si>
  <si>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</si>
  <si>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</si>
  <si>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</si>
  <si>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</si>
  <si>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</si>
  <si>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</si>
  <si>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</si>
  <si>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</si>
  <si>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</si>
  <si>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</si>
  <si>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</si>
  <si>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</si>
  <si>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</si>
  <si>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</si>
  <si>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</si>
  <si>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</si>
  <si>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</si>
  <si>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</si>
  <si>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</si>
  <si>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</si>
  <si>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</si>
  <si>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</si>
  <si>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</si>
  <si>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</si>
  <si>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</si>
  <si>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</si>
  <si>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</si>
  <si>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</si>
  <si>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</si>
  <si>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</si>
  <si>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</si>
  <si>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</si>
  <si>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</si>
  <si>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</si>
  <si>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</si>
  <si>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</si>
  <si>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</si>
  <si>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</si>
  <si>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</si>
  <si>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</si>
  <si>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</si>
  <si>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</si>
  <si>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</si>
  <si>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</si>
  <si>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</si>
  <si>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</si>
  <si>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</si>
  <si>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</si>
  <si>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</si>
  <si>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</si>
  <si>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</si>
  <si>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</si>
  <si>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</si>
  <si>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</si>
  <si>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</si>
  <si>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</si>
  <si>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</si>
  <si>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</si>
  <si>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</si>
  <si>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</si>
  <si>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</si>
  <si>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</si>
  <si>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</si>
  <si>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</si>
  <si>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</si>
  <si>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</si>
  <si>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</si>
  <si>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</si>
  <si>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</si>
  <si>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</si>
  <si>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</si>
  <si>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</si>
  <si>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</si>
  <si>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</si>
  <si>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</si>
  <si>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</si>
  <si>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</si>
  <si>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</si>
  <si>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</si>
  <si>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</si>
  <si>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</si>
  <si>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</si>
  <si>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</si>
  <si>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</si>
  <si>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</si>
  <si>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</si>
  <si>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</si>
  <si>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</si>
  <si>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</si>
  <si>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</si>
  <si>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</si>
  <si>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</si>
  <si>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</si>
  <si>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</si>
  <si>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</si>
  <si>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</si>
  <si>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</si>
  <si>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</si>
  <si>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</si>
  <si>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</si>
  <si>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</si>
  <si>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</si>
  <si>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</si>
  <si>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</si>
  <si>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</si>
  <si>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</si>
  <si>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</si>
  <si>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</si>
  <si>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</si>
  <si>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</si>
  <si>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</si>
  <si>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</si>
  <si>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</si>
  <si>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</si>
  <si>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</si>
  <si>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</si>
  <si>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</si>
  <si>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</si>
  <si>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</si>
  <si>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</si>
  <si>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</si>
  <si>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</si>
  <si>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</si>
  <si>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</si>
  <si>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</si>
  <si>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</si>
  <si>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</si>
  <si>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</si>
  <si>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</si>
  <si>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</si>
  <si>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</si>
  <si>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</si>
  <si>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</si>
  <si>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</si>
  <si>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</si>
  <si>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</si>
  <si>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</si>
  <si>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</si>
  <si>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</si>
  <si>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</si>
  <si>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</si>
  <si>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</si>
  <si>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</si>
  <si>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</si>
  <si>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</si>
  <si>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</si>
  <si>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</si>
  <si>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</si>
  <si>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</si>
  <si>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</si>
  <si>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</si>
  <si>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</si>
  <si>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</si>
  <si>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</si>
  <si>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</si>
  <si>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</si>
  <si>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</si>
  <si>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</si>
  <si>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</si>
  <si>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</si>
  <si>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</si>
  <si>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</si>
  <si>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</si>
  <si>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</si>
  <si>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</si>
  <si>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</si>
  <si>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</si>
  <si>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</si>
  <si>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</si>
  <si>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</si>
  <si>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</si>
  <si>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</si>
  <si>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</si>
  <si>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</si>
  <si>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</si>
  <si>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</si>
  <si>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</si>
  <si>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</si>
  <si>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</si>
  <si>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</si>
  <si>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</si>
  <si>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</si>
  <si>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</si>
  <si>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</si>
  <si>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</si>
  <si>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</si>
  <si>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</si>
  <si>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</si>
  <si>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</si>
  <si>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</si>
  <si>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</si>
  <si>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</si>
  <si>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</si>
  <si>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</si>
  <si>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</si>
  <si>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</si>
  <si>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</si>
  <si>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</si>
  <si>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</si>
  <si>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</si>
  <si>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</si>
  <si>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</si>
  <si>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</si>
  <si>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</si>
  <si>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</si>
  <si>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</si>
  <si>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</si>
  <si>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</si>
  <si>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</si>
  <si>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</si>
  <si>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</si>
  <si>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</si>
  <si>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</si>
  <si>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</si>
  <si>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</si>
  <si>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</si>
  <si>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</si>
  <si>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</si>
  <si>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</si>
  <si>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</si>
  <si>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</si>
  <si>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</si>
  <si>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</si>
  <si>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</si>
  <si>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</si>
  <si>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</si>
  <si>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</si>
  <si>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</si>
  <si>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</si>
  <si>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</si>
  <si>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</si>
  <si>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</si>
  <si>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</si>
  <si>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</si>
  <si>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</si>
  <si>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</si>
  <si>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</si>
  <si>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</si>
  <si>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</si>
  <si>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</si>
  <si>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</si>
  <si>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</si>
  <si>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</si>
  <si>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</si>
  <si>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</si>
  <si>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</si>
  <si>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</si>
  <si>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</si>
  <si>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</si>
  <si>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</si>
  <si>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</si>
  <si>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</si>
  <si>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</si>
  <si>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</si>
  <si>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</si>
  <si>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</si>
  <si>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</si>
  <si>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</si>
  <si>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</si>
  <si>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</si>
  <si>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</si>
  <si>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</si>
  <si>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</si>
  <si>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</si>
  <si>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</si>
  <si>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</si>
  <si>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</si>
  <si>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</si>
  <si>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</si>
  <si>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</si>
  <si>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</si>
  <si>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</si>
  <si>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</si>
  <si>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</si>
  <si>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</si>
  <si>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</si>
  <si>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</si>
  <si>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</si>
  <si>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</si>
  <si>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</si>
  <si>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</si>
  <si>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</si>
  <si>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</si>
  <si>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</si>
  <si>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</si>
  <si>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</si>
  <si>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</si>
  <si>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</si>
  <si>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</si>
  <si>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</si>
  <si>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</si>
  <si>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</si>
  <si>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</si>
  <si>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</si>
  <si>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</si>
  <si>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</si>
  <si>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</si>
  <si>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</si>
  <si>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</si>
  <si>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</si>
  <si>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</si>
  <si>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</si>
  <si>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</si>
  <si>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</si>
  <si>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</si>
  <si>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</si>
  <si>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</si>
  <si>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</si>
  <si>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</si>
  <si>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</si>
  <si>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</si>
  <si>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</si>
  <si>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</si>
  <si>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</si>
  <si>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</si>
  <si>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</si>
  <si>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</si>
  <si>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</si>
  <si>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</si>
  <si>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</si>
  <si>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</si>
  <si>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</si>
  <si>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</si>
  <si>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</si>
  <si>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</si>
  <si>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</si>
  <si>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</si>
  <si>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</si>
  <si>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</si>
  <si>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</si>
  <si>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</si>
  <si>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</si>
  <si>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</si>
  <si>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</si>
  <si>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</si>
  <si>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</si>
  <si>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</si>
  <si>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</si>
  <si>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</si>
  <si>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</si>
  <si>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</si>
  <si>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</si>
  <si>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</si>
  <si>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</si>
  <si>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</si>
  <si>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</si>
  <si>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</si>
  <si>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</si>
  <si>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</si>
  <si>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</si>
  <si>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</si>
  <si>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</si>
  <si>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</si>
  <si>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</si>
  <si>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</si>
  <si>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</si>
  <si>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</si>
  <si>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</si>
  <si>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</si>
  <si>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</si>
  <si>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</si>
  <si>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</si>
  <si>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</si>
  <si>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</si>
  <si>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</si>
  <si>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</si>
  <si>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</si>
  <si>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</si>
  <si>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</si>
  <si>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</si>
  <si>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</si>
  <si>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</si>
  <si>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</si>
  <si>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</si>
  <si>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</si>
  <si>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</si>
  <si>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</si>
  <si>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</si>
  <si>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</si>
  <si>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</si>
  <si>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</si>
  <si>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</si>
  <si>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</si>
  <si>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</si>
  <si>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</si>
  <si>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</si>
  <si>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</si>
  <si>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</si>
  <si>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</si>
  <si>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</si>
  <si>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</si>
  <si>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</si>
  <si>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</si>
  <si>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</si>
  <si>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</si>
  <si>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</si>
  <si>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</si>
  <si>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</si>
  <si>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</si>
  <si>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</si>
  <si>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</si>
  <si>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</si>
  <si>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</si>
  <si>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</si>
  <si>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</si>
  <si>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</si>
  <si>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</si>
  <si>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</si>
  <si>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</si>
  <si>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</si>
  <si>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</si>
  <si>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</si>
  <si>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</si>
  <si>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</si>
  <si>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</si>
  <si>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</si>
  <si>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</si>
  <si>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</si>
  <si>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</si>
  <si>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</si>
  <si>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</si>
  <si>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</si>
  <si>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</si>
  <si>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</si>
  <si>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</si>
  <si>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</si>
  <si>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</si>
  <si>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</si>
  <si>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</si>
  <si>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</si>
  <si>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</si>
  <si>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</si>
  <si>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</si>
  <si>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</si>
  <si>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</si>
  <si>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</si>
  <si>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</si>
  <si>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</si>
  <si>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</si>
  <si>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</si>
  <si>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</si>
  <si>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</si>
  <si>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</si>
  <si>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</si>
  <si>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</si>
  <si>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</si>
  <si>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</si>
  <si>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</si>
  <si>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</si>
  <si>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</si>
  <si>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</si>
  <si>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</si>
  <si>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</si>
  <si>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</si>
  <si>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</si>
  <si>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</si>
  <si>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</si>
  <si>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</si>
  <si>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</si>
  <si>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</si>
  <si>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PONTEVEDRA</t>
  </si>
  <si>
    <t>Resumenes por Partidos Judiciales</t>
  </si>
  <si>
    <t>O PORRIÑO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</si>
</sst>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VD3qfH4x2ChSm+dPLdeiWwoad9aG56XP/80ZsRmaiMmwWmIEPdoAN8LoKXd6aG9UlHOt6Lnu7VxgVEDLGhUxsg==" saltValue="gAFpJ+sKyLlxGdDJ7Cyt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11</v>
      </c>
      <c r="D10" s="230">
        <f>IF(ISNUMBER(Datos!I10),Datos!I10," - ")</f>
        <v>11</v>
      </c>
      <c r="E10" s="231">
        <f>IF(ISNUMBER(Datos!J10),Datos!J10," - ")</f>
        <v>2</v>
      </c>
      <c r="F10" s="231">
        <f>IF(ISNUMBER(Datos!K10),Datos!K10," - ")</f>
        <v>3</v>
      </c>
      <c r="G10" s="1193" t="str">
        <f>IF(Datos!E10&lt;&gt;"",Datos!E10,Datos!D10)</f>
        <v>37</v>
      </c>
      <c r="H10" s="232">
        <f>IF(ISNUMBER(Datos!L10),Datos!L10," - ")</f>
        <v>10</v>
      </c>
      <c r="I10" s="1203" t="str">
        <f>IF(ISNUMBER(Datos!AS10/Datos!BM10),Datos!AS10/Datos!BM10," - ")</f>
        <v xml:space="preserve"> - </v>
      </c>
      <c r="J10" s="1204">
        <f>IF(ISNUMBER(Datos!BY10/Datos!CN10),Datos!BY10/Datos!CN10," - ")</f>
        <v>0</v>
      </c>
      <c r="K10" s="235">
        <f t="shared" ref="K10:K13" si="1">IF(ISNUMBER((E10-F10)/C10),(E10-F10)/C10," - ")</f>
        <v>-9.0909090909090912E-2</v>
      </c>
      <c r="L10" s="1205">
        <f>IF(ISNUMBER(NºAsuntos!I10/NºAsuntos!G10),(NºAsuntos!I10/NºAsuntos!G10)*11," - ")</f>
        <v>36.666666666666671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31.22202486678508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11</v>
      </c>
      <c r="D14" s="1210">
        <f>SUBTOTAL(9,D9:D13)</f>
        <v>11</v>
      </c>
      <c r="E14" s="1211">
        <f>SUBTOTAL(9,E9:E13)</f>
        <v>2</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612</v>
      </c>
      <c r="D17" s="230">
        <f>IF(ISNUMBER(IF(D_I="SI",Datos!I17,Datos!I17+Datos!AC17)),IF(D_I="SI",Datos!I17,Datos!I17+Datos!AC17)," - ")</f>
        <v>611</v>
      </c>
      <c r="E17" s="231">
        <f>IF(ISNUMBER(IF(D_I="SI",Datos!J17,Datos!J17+Datos!AD17)),IF(D_I="SI",Datos!J17,Datos!J17+Datos!AD17)," - ")</f>
        <v>391</v>
      </c>
      <c r="F17" s="231">
        <f>IF(ISNUMBER(IF(D_I="SI",Datos!K17,Datos!K17+Datos!AE17)),IF(D_I="SI",Datos!K17,Datos!K17+Datos!AE17)," - ")</f>
        <v>300</v>
      </c>
      <c r="G17" s="1193" t="str">
        <f>IF(Datos!E17&lt;&gt;"",Datos!E17,Datos!D17)</f>
        <v>04</v>
      </c>
      <c r="H17" s="232">
        <f>IF(ISNUMBER(IF(D_I="SI",Datos!L17,Datos!L17+Datos!AF17)),IF(D_I="SI",Datos!L17,Datos!L17+Datos!AF17)," - ")</f>
        <v>703</v>
      </c>
      <c r="I17" s="1203" t="str">
        <f>IF(ISNUMBER(Datos!AS17/Datos!BM17),Datos!AS17/Datos!BM17," - ")</f>
        <v xml:space="preserve"> - </v>
      </c>
      <c r="J17" s="1204">
        <f>IF(ISNUMBER(Datos!BY17/Datos!CN17),Datos!BY17/Datos!CN17," - ")</f>
        <v>0</v>
      </c>
      <c r="K17" s="235">
        <f t="shared" si="3"/>
        <v>0.14869281045751634</v>
      </c>
      <c r="L17" s="1205">
        <f>IF(ISNUMBER(NºAsuntos!I17/NºAsuntos!G17),(NºAsuntos!I17/NºAsuntos!G17)*11," - ")</f>
        <v>25.776666666666667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17</v>
      </c>
      <c r="D18" s="230">
        <f>IF(ISNUMBER(IF(D_I="SI",Datos!I18,Datos!I18+Datos!AC18)),IF(D_I="SI",Datos!I18,Datos!I18+Datos!AC18)," - ")</f>
        <v>17</v>
      </c>
      <c r="E18" s="231">
        <f>IF(ISNUMBER(IF(D_I="SI",Datos!J18,Datos!J18+Datos!AD18)),IF(D_I="SI",Datos!J18,Datos!J18+Datos!AD18)," - ")</f>
        <v>25</v>
      </c>
      <c r="F18" s="231">
        <f>IF(ISNUMBER(IF(D_I="SI",Datos!K18,Datos!K18+Datos!AE18)),IF(D_I="SI",Datos!K18,Datos!K18+Datos!AE18)," - ")</f>
        <v>21</v>
      </c>
      <c r="G18" s="1193" t="str">
        <f>IF(Datos!E18&lt;&gt;"",Datos!E18,Datos!D18)</f>
        <v>37</v>
      </c>
      <c r="H18" s="232">
        <f>IF(ISNUMBER(IF(D_I="SI",Datos!L18,Datos!L18+Datos!AF18)),IF(D_I="SI",Datos!L18,Datos!L18+Datos!AF18)," - ")</f>
        <v>21</v>
      </c>
      <c r="I18" s="1203" t="str">
        <f>IF(ISNUMBER(Datos!AS18/Datos!BM18),Datos!AS18/Datos!BM18," - ")</f>
        <v xml:space="preserve"> - </v>
      </c>
      <c r="J18" s="1204" t="str">
        <f>IF(ISNUMBER((Datos!BY18+Datos!BZ18)/Datos!CN18),(Datos!BY18+Datos!BZ18)/Datos!CN18," - ")</f>
        <v xml:space="preserve"> - </v>
      </c>
      <c r="K18" s="235">
        <f t="shared" si="3"/>
        <v>0.23529411764705882</v>
      </c>
      <c r="L18" s="1205">
        <f>IF(ISNUMBER(NºAsuntos!I18/NºAsuntos!G18),(NºAsuntos!I18/NºAsuntos!G18)*11," - ")</f>
        <v>11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629</v>
      </c>
      <c r="D20" s="1210">
        <f>SUBTOTAL(9,D16:D19)</f>
        <v>628</v>
      </c>
      <c r="E20" s="1211">
        <f>SUBTOTAL(9,E16:E19)</f>
        <v>416</v>
      </c>
      <c r="F20" s="1211">
        <f>SUBTOTAL(9,F16:F19)</f>
        <v>321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640</v>
      </c>
      <c r="D21" s="1232">
        <f>SUBTOTAL(9,D9:D20)</f>
        <v>639</v>
      </c>
      <c r="E21" s="1233">
        <f>SUBTOTAL(9,E9:E20)</f>
        <v>418</v>
      </c>
      <c r="F21" s="1233">
        <f>SUBTOTAL(9,F9:F20)</f>
        <v>324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t3ZU36cRUmx62LxHI6mOSwjY0aeKWZV6EGCBtmcUJxaPQD9gHFPfI2h1ggwVGJlZ4Gtw8I82lyJiXgSZqX/CAw==" saltValue="FdV2c7P2/MJX/lJojNTDF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TgpLJJrFgc8TVJCTLFwzugTy9Tb8Jw5IKsM39LqUsqcSo5bdGvczQkAmemna83y/E6gdcfTYyMxyJiiGjgHdCw==" saltValue="KV+jzdxLwXJNbgLNT2gP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11</v>
      </c>
      <c r="J10" s="186">
        <v>2</v>
      </c>
      <c r="K10" s="186">
        <v>3</v>
      </c>
      <c r="L10" s="186">
        <v>10</v>
      </c>
      <c r="M10" s="186">
        <v>1</v>
      </c>
      <c r="N10" s="186">
        <v>3</v>
      </c>
      <c r="O10" s="186">
        <v>0</v>
      </c>
      <c r="P10" s="186">
        <v>0</v>
      </c>
      <c r="Q10" s="186">
        <v>1</v>
      </c>
      <c r="R10" s="186">
        <v>5</v>
      </c>
      <c r="S10" s="186">
        <v>10</v>
      </c>
      <c r="T10" s="186">
        <v>5</v>
      </c>
      <c r="U10" s="186">
        <v>2</v>
      </c>
      <c r="V10" s="186">
        <v>13</v>
      </c>
      <c r="W10" s="186">
        <v>1</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10</v>
      </c>
      <c r="AZ10" s="131">
        <f t="shared" si="0"/>
        <v>5</v>
      </c>
      <c r="BA10" s="131">
        <f t="shared" si="0"/>
        <v>2</v>
      </c>
      <c r="BB10" s="131">
        <f t="shared" si="0"/>
        <v>13</v>
      </c>
      <c r="BC10" s="127">
        <f t="shared" si="0"/>
        <v>1</v>
      </c>
      <c r="BD10" s="128">
        <f>IF(ISNUMBER(BA10/AZ10),BA10/AZ10," - ")</f>
        <v>0.4</v>
      </c>
      <c r="BE10" s="129">
        <f>IF(ISNUMBER(BB10/BA10),BB10/BA10, " - ")</f>
        <v>6.5</v>
      </c>
      <c r="BF10" s="129">
        <f>IF(ISNUMBER(BC10/BA10),BC10/BA10, " - ")</f>
        <v>0.5</v>
      </c>
      <c r="BG10" s="201">
        <f>IF(ISNUMBER((AY10+AZ10)/BA10),(AY10+AZ10)/BA10," - ")</f>
        <v>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1456</v>
      </c>
      <c r="J12" s="188">
        <v>575</v>
      </c>
      <c r="K12" s="188">
        <v>473</v>
      </c>
      <c r="L12" s="188">
        <v>1558</v>
      </c>
      <c r="M12" s="188">
        <v>157</v>
      </c>
      <c r="N12" s="188">
        <v>186</v>
      </c>
      <c r="O12" s="186">
        <v>202</v>
      </c>
      <c r="P12" s="188">
        <v>112</v>
      </c>
      <c r="Q12" s="188">
        <v>66</v>
      </c>
      <c r="R12" s="188">
        <v>1520</v>
      </c>
      <c r="S12" s="188">
        <v>1381</v>
      </c>
      <c r="T12" s="188">
        <v>553</v>
      </c>
      <c r="U12" s="188">
        <v>518</v>
      </c>
      <c r="V12" s="188">
        <v>1416</v>
      </c>
      <c r="W12" s="188">
        <v>137</v>
      </c>
      <c r="X12" s="194">
        <v>192</v>
      </c>
      <c r="Y12" s="196">
        <v>38</v>
      </c>
      <c r="Z12" s="186">
        <v>92</v>
      </c>
      <c r="AA12" s="186">
        <v>90</v>
      </c>
      <c r="AB12" s="186">
        <v>40</v>
      </c>
      <c r="AC12" s="188">
        <v>0</v>
      </c>
      <c r="AD12" s="188">
        <v>0</v>
      </c>
      <c r="AE12" s="188">
        <v>0</v>
      </c>
      <c r="AF12" s="194">
        <v>0</v>
      </c>
      <c r="AG12" s="207">
        <v>26</v>
      </c>
      <c r="AH12" s="188">
        <v>69</v>
      </c>
      <c r="AI12" s="188">
        <v>59</v>
      </c>
      <c r="AJ12" s="208">
        <v>36</v>
      </c>
      <c r="AK12" s="187">
        <v>0</v>
      </c>
      <c r="AL12" s="188">
        <v>0</v>
      </c>
      <c r="AM12" s="188">
        <v>0</v>
      </c>
      <c r="AN12" s="194">
        <v>0</v>
      </c>
      <c r="AO12" s="264">
        <v>3</v>
      </c>
      <c r="AP12" s="160">
        <v>3</v>
      </c>
      <c r="AQ12" s="160">
        <v>3</v>
      </c>
      <c r="AR12" s="159">
        <v>3</v>
      </c>
      <c r="AS12" s="350" t="s">
        <v>874</v>
      </c>
      <c r="AT12" s="208"/>
      <c r="AU12" s="207"/>
      <c r="AV12" s="208"/>
      <c r="AW12" s="207"/>
      <c r="AX12" s="208"/>
      <c r="AY12" s="128">
        <f t="shared" si="1"/>
        <v>1407</v>
      </c>
      <c r="AZ12" s="129">
        <f t="shared" si="1"/>
        <v>622</v>
      </c>
      <c r="BA12" s="129">
        <f t="shared" si="1"/>
        <v>577</v>
      </c>
      <c r="BB12" s="129">
        <f t="shared" si="1"/>
        <v>1452</v>
      </c>
      <c r="BC12" s="127">
        <f>IF(ISNUMBER(X12),X12," - ")</f>
        <v>192</v>
      </c>
      <c r="BD12" s="128">
        <f t="shared" si="2"/>
        <v>0.92765273311897101</v>
      </c>
      <c r="BE12" s="129">
        <f t="shared" si="3"/>
        <v>2.5164644714038129</v>
      </c>
      <c r="BF12" s="129">
        <f t="shared" si="4"/>
        <v>0.33275563258232238</v>
      </c>
      <c r="BG12" s="201">
        <f t="shared" si="5"/>
        <v>3.5164644714038129</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1467</v>
      </c>
      <c r="J14" s="189">
        <f t="shared" si="7"/>
        <v>577</v>
      </c>
      <c r="K14" s="189">
        <f t="shared" si="7"/>
        <v>476</v>
      </c>
      <c r="L14" s="189">
        <f t="shared" si="7"/>
        <v>1568</v>
      </c>
      <c r="M14" s="189">
        <f t="shared" si="7"/>
        <v>158</v>
      </c>
      <c r="N14" s="189">
        <f t="shared" si="7"/>
        <v>189</v>
      </c>
      <c r="O14" s="189">
        <f t="shared" si="7"/>
        <v>202</v>
      </c>
      <c r="P14" s="189">
        <f t="shared" si="7"/>
        <v>112</v>
      </c>
      <c r="Q14" s="189">
        <f t="shared" si="7"/>
        <v>67</v>
      </c>
      <c r="R14" s="189">
        <f t="shared" si="7"/>
        <v>1525</v>
      </c>
      <c r="S14" s="189">
        <f t="shared" si="7"/>
        <v>1391</v>
      </c>
      <c r="T14" s="189">
        <f t="shared" si="7"/>
        <v>558</v>
      </c>
      <c r="U14" s="189">
        <f t="shared" si="7"/>
        <v>520</v>
      </c>
      <c r="V14" s="189">
        <f t="shared" si="7"/>
        <v>1429</v>
      </c>
      <c r="W14" s="189">
        <f t="shared" si="7"/>
        <v>138</v>
      </c>
      <c r="X14" s="189">
        <f t="shared" si="7"/>
        <v>193</v>
      </c>
      <c r="Y14" s="189">
        <f t="shared" si="7"/>
        <v>38</v>
      </c>
      <c r="Z14" s="189">
        <f t="shared" si="7"/>
        <v>92</v>
      </c>
      <c r="AA14" s="189">
        <f t="shared" si="7"/>
        <v>90</v>
      </c>
      <c r="AB14" s="189">
        <f t="shared" si="7"/>
        <v>40</v>
      </c>
      <c r="AC14" s="189">
        <f t="shared" si="7"/>
        <v>0</v>
      </c>
      <c r="AD14" s="189">
        <f t="shared" si="7"/>
        <v>0</v>
      </c>
      <c r="AE14" s="189">
        <f t="shared" si="7"/>
        <v>0</v>
      </c>
      <c r="AF14" s="189">
        <f>SUBTOTAL(9,AF9:AF13)</f>
        <v>0</v>
      </c>
      <c r="AG14" s="189">
        <f t="shared" ref="AG14:AT14" si="8">SUBTOTAL(9,AG8:AG13)</f>
        <v>26</v>
      </c>
      <c r="AH14" s="189">
        <f t="shared" si="8"/>
        <v>69</v>
      </c>
      <c r="AI14" s="189">
        <f t="shared" si="8"/>
        <v>59</v>
      </c>
      <c r="AJ14" s="189">
        <f t="shared" si="8"/>
        <v>36</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1417</v>
      </c>
      <c r="AZ14" s="189">
        <f>SUBTOTAL(9,AZ8:AZ13)</f>
        <v>627</v>
      </c>
      <c r="BA14" s="189">
        <f>SUBTOTAL(9,BA8:BA13)</f>
        <v>579</v>
      </c>
      <c r="BB14" s="189">
        <f>SUBTOTAL(9,BB8:BB13)</f>
        <v>1465</v>
      </c>
      <c r="BC14" s="189">
        <f>SUBTOTAL(9,BC8:BC13)</f>
        <v>193</v>
      </c>
      <c r="BD14" s="210">
        <f>IF(ISNUMBER(BA14/AZ14),BA14/AZ14," - ")</f>
        <v>0.92344497607655507</v>
      </c>
      <c r="BE14" s="211">
        <f>IF(ISNUMBER(BB14/BA14),BB14/BA14, " - ")</f>
        <v>2.5302245250431779</v>
      </c>
      <c r="BF14" s="211">
        <f>IF(ISNUMBER(BC14/BA14),BC14/BA14, " - ")</f>
        <v>0.33333333333333331</v>
      </c>
      <c r="BG14" s="212">
        <f>IF(ISNUMBER((AY14+AZ14)/BA14),(AY14+AZ14)/BA14," - ")</f>
        <v>3.5302245250431779</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611</v>
      </c>
      <c r="J17" s="188">
        <v>391</v>
      </c>
      <c r="K17" s="188">
        <v>300</v>
      </c>
      <c r="L17" s="188">
        <v>703</v>
      </c>
      <c r="M17" s="188">
        <v>60</v>
      </c>
      <c r="N17" s="188">
        <v>153</v>
      </c>
      <c r="O17" s="186">
        <v>3</v>
      </c>
      <c r="P17" s="188">
        <v>7</v>
      </c>
      <c r="Q17" s="188">
        <v>3</v>
      </c>
      <c r="R17" s="188">
        <v>72</v>
      </c>
      <c r="S17" s="188">
        <v>553</v>
      </c>
      <c r="T17" s="188">
        <v>448</v>
      </c>
      <c r="U17" s="188">
        <v>515</v>
      </c>
      <c r="V17" s="188">
        <v>490</v>
      </c>
      <c r="W17" s="188">
        <v>92</v>
      </c>
      <c r="X17" s="194">
        <v>270</v>
      </c>
      <c r="Y17" s="207">
        <v>0</v>
      </c>
      <c r="Z17" s="188">
        <v>0</v>
      </c>
      <c r="AA17" s="188">
        <v>0</v>
      </c>
      <c r="AB17" s="188">
        <v>0</v>
      </c>
      <c r="AC17" s="188">
        <v>0</v>
      </c>
      <c r="AD17" s="188">
        <v>1</v>
      </c>
      <c r="AE17" s="188">
        <v>1</v>
      </c>
      <c r="AF17" s="194">
        <v>0</v>
      </c>
      <c r="AG17" s="207">
        <v>0</v>
      </c>
      <c r="AH17" s="188">
        <v>0</v>
      </c>
      <c r="AI17" s="188">
        <v>0</v>
      </c>
      <c r="AJ17" s="208">
        <v>0</v>
      </c>
      <c r="AK17" s="187">
        <v>0</v>
      </c>
      <c r="AL17" s="188">
        <v>0</v>
      </c>
      <c r="AM17" s="188">
        <v>0</v>
      </c>
      <c r="AN17" s="194">
        <v>0</v>
      </c>
      <c r="AO17" s="264">
        <v>3</v>
      </c>
      <c r="AP17" s="160">
        <v>3</v>
      </c>
      <c r="AQ17" s="160">
        <v>3</v>
      </c>
      <c r="AR17" s="160">
        <v>3</v>
      </c>
      <c r="AS17" s="350" t="s">
        <v>545</v>
      </c>
      <c r="AT17" s="208"/>
      <c r="AU17" s="207"/>
      <c r="AV17" s="208"/>
      <c r="AW17" s="207"/>
      <c r="AX17" s="208"/>
      <c r="AY17" s="128">
        <f t="shared" si="10"/>
        <v>553</v>
      </c>
      <c r="AZ17" s="129">
        <f t="shared" si="10"/>
        <v>448</v>
      </c>
      <c r="BA17" s="129">
        <f t="shared" si="10"/>
        <v>515</v>
      </c>
      <c r="BB17" s="129">
        <f t="shared" si="10"/>
        <v>490</v>
      </c>
      <c r="BC17" s="127">
        <f>IF(ISNUMBER(W17),W17," - ")</f>
        <v>92</v>
      </c>
      <c r="BD17" s="128">
        <f t="shared" ref="BD17:BD19" si="12">IF(ISNUMBER(BA17/AZ17),BA17/AZ17," - ")</f>
        <v>1.1495535714285714</v>
      </c>
      <c r="BE17" s="129">
        <f t="shared" ref="BE17:BE19" si="13">IF(ISNUMBER(BB17/BA17),BB17/BA17, " - ")</f>
        <v>0.95145631067961167</v>
      </c>
      <c r="BF17" s="129">
        <f t="shared" ref="BF17:BF19" si="14">IF(ISNUMBER(BC17/BA17),BC17/BA17, " - ")</f>
        <v>0.17864077669902911</v>
      </c>
      <c r="BG17" s="201">
        <f t="shared" si="11"/>
        <v>1.9436893203883494</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17</v>
      </c>
      <c r="J18" s="188">
        <v>25</v>
      </c>
      <c r="K18" s="188">
        <v>21</v>
      </c>
      <c r="L18" s="188">
        <v>21</v>
      </c>
      <c r="M18" s="188">
        <v>2</v>
      </c>
      <c r="N18" s="188">
        <v>12</v>
      </c>
      <c r="O18" s="188">
        <v>0</v>
      </c>
      <c r="P18" s="188">
        <v>0</v>
      </c>
      <c r="Q18" s="188">
        <v>0</v>
      </c>
      <c r="R18" s="188">
        <v>1</v>
      </c>
      <c r="S18" s="188">
        <v>35</v>
      </c>
      <c r="T18" s="188">
        <v>48</v>
      </c>
      <c r="U18" s="188">
        <v>50</v>
      </c>
      <c r="V18" s="188">
        <v>33</v>
      </c>
      <c r="W18" s="188">
        <v>2</v>
      </c>
      <c r="X18" s="194">
        <v>31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35</v>
      </c>
      <c r="AZ18" s="131">
        <f t="shared" si="15"/>
        <v>48</v>
      </c>
      <c r="BA18" s="131">
        <f t="shared" si="15"/>
        <v>50</v>
      </c>
      <c r="BB18" s="131">
        <f t="shared" si="15"/>
        <v>33</v>
      </c>
      <c r="BC18" s="127">
        <f>IF(ISNUMBER(W18),W18," - ")</f>
        <v>2</v>
      </c>
      <c r="BD18" s="128">
        <f>IF(ISNUMBER(BA18/AZ18),BA18/AZ18," - ")</f>
        <v>1.0416666666666667</v>
      </c>
      <c r="BE18" s="129">
        <f>IF(ISNUMBER(BB18/BA18),BB18/BA18, " - ")</f>
        <v>0.66</v>
      </c>
      <c r="BF18" s="129">
        <f>IF(ISNUMBER(BC18/BA18),BC18/BA18, " - ")</f>
        <v>0.04</v>
      </c>
      <c r="BG18" s="201">
        <f>IF(ISNUMBER((AY18+AZ18)/BA18),(AY18+AZ18)/BA18," - ")</f>
        <v>1.66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628</v>
      </c>
      <c r="J20" s="189">
        <f t="shared" si="16"/>
        <v>416</v>
      </c>
      <c r="K20" s="189">
        <f t="shared" si="16"/>
        <v>321</v>
      </c>
      <c r="L20" s="189">
        <f t="shared" si="16"/>
        <v>724</v>
      </c>
      <c r="M20" s="189">
        <f t="shared" si="16"/>
        <v>62</v>
      </c>
      <c r="N20" s="189">
        <f t="shared" si="16"/>
        <v>165</v>
      </c>
      <c r="O20" s="189">
        <f t="shared" si="16"/>
        <v>3</v>
      </c>
      <c r="P20" s="189">
        <f t="shared" si="16"/>
        <v>7</v>
      </c>
      <c r="Q20" s="189">
        <f t="shared" si="16"/>
        <v>3</v>
      </c>
      <c r="R20" s="189">
        <f t="shared" si="16"/>
        <v>73</v>
      </c>
      <c r="S20" s="189">
        <f t="shared" si="16"/>
        <v>588</v>
      </c>
      <c r="T20" s="189">
        <f t="shared" si="16"/>
        <v>496</v>
      </c>
      <c r="U20" s="189">
        <f t="shared" si="16"/>
        <v>565</v>
      </c>
      <c r="V20" s="189">
        <f t="shared" si="16"/>
        <v>523</v>
      </c>
      <c r="W20" s="189">
        <f t="shared" si="16"/>
        <v>94</v>
      </c>
      <c r="X20" s="189">
        <f t="shared" si="16"/>
        <v>301</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588</v>
      </c>
      <c r="AZ20" s="189">
        <f>SUBTOTAL(9,AZ15:AZ19)</f>
        <v>496</v>
      </c>
      <c r="BA20" s="189">
        <f>SUBTOTAL(9,BA15:BA19)</f>
        <v>565</v>
      </c>
      <c r="BB20" s="189">
        <f>SUBTOTAL(9,BB15:BB19)</f>
        <v>523</v>
      </c>
      <c r="BC20" s="189">
        <f>SUBTOTAL(9,BC15:BC19)</f>
        <v>94</v>
      </c>
      <c r="BD20" s="210">
        <f>IF(ISNUMBER(BA20/AZ20),BA20/AZ20," - ")</f>
        <v>1.1391129032258065</v>
      </c>
      <c r="BE20" s="211">
        <f>IF(ISNUMBER(BB20/BA20),BB20/BA20, " - ")</f>
        <v>0.92566371681415927</v>
      </c>
      <c r="BF20" s="211">
        <f>IF(ISNUMBER(BC20/BA20),BC20/BA20, " - ")</f>
        <v>0.1663716814159292</v>
      </c>
      <c r="BG20" s="212">
        <f>IF(ISNUMBER((AY20+AZ20)/BA20),(AY20+AZ20)/BA20," - ")</f>
        <v>1.9185840707964601</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2095</v>
      </c>
      <c r="J21" s="136">
        <f t="shared" si="19"/>
        <v>993</v>
      </c>
      <c r="K21" s="136">
        <f t="shared" si="19"/>
        <v>797</v>
      </c>
      <c r="L21" s="136">
        <f t="shared" si="19"/>
        <v>2292</v>
      </c>
      <c r="M21" s="136">
        <f t="shared" si="19"/>
        <v>220</v>
      </c>
      <c r="N21" s="136">
        <f t="shared" si="19"/>
        <v>354</v>
      </c>
      <c r="O21" s="136">
        <f t="shared" si="19"/>
        <v>205</v>
      </c>
      <c r="P21" s="136">
        <f t="shared" si="19"/>
        <v>119</v>
      </c>
      <c r="Q21" s="136">
        <f t="shared" si="19"/>
        <v>70</v>
      </c>
      <c r="R21" s="136">
        <f t="shared" si="19"/>
        <v>1598</v>
      </c>
      <c r="S21" s="136">
        <f t="shared" si="19"/>
        <v>1979</v>
      </c>
      <c r="T21" s="136">
        <f t="shared" si="19"/>
        <v>1054</v>
      </c>
      <c r="U21" s="136">
        <f t="shared" si="19"/>
        <v>1085</v>
      </c>
      <c r="V21" s="136">
        <f t="shared" si="19"/>
        <v>1952</v>
      </c>
      <c r="W21" s="136">
        <f t="shared" si="19"/>
        <v>232</v>
      </c>
      <c r="X21" s="136">
        <f t="shared" si="19"/>
        <v>494</v>
      </c>
      <c r="Y21" s="136">
        <f t="shared" si="19"/>
        <v>38</v>
      </c>
      <c r="Z21" s="136">
        <f t="shared" si="19"/>
        <v>92</v>
      </c>
      <c r="AA21" s="136">
        <f t="shared" si="19"/>
        <v>90</v>
      </c>
      <c r="AB21" s="136">
        <f t="shared" si="19"/>
        <v>40</v>
      </c>
      <c r="AC21" s="136">
        <f t="shared" si="19"/>
        <v>0</v>
      </c>
      <c r="AD21" s="136">
        <f t="shared" si="19"/>
        <v>1</v>
      </c>
      <c r="AE21" s="136">
        <f t="shared" si="19"/>
        <v>1</v>
      </c>
      <c r="AF21" s="136">
        <f t="shared" si="19"/>
        <v>0</v>
      </c>
      <c r="AG21" s="136">
        <f t="shared" si="19"/>
        <v>26</v>
      </c>
      <c r="AH21" s="136">
        <f t="shared" si="19"/>
        <v>69</v>
      </c>
      <c r="AI21" s="136">
        <f t="shared" si="19"/>
        <v>59</v>
      </c>
      <c r="AJ21" s="136">
        <f t="shared" si="19"/>
        <v>36</v>
      </c>
      <c r="AK21" s="136">
        <f t="shared" si="19"/>
        <v>0</v>
      </c>
      <c r="AL21" s="136">
        <f t="shared" si="19"/>
        <v>0</v>
      </c>
      <c r="AM21" s="136">
        <f t="shared" si="19"/>
        <v>0</v>
      </c>
      <c r="AN21" s="215">
        <f t="shared" si="19"/>
        <v>0</v>
      </c>
      <c r="AO21" s="216">
        <v>4</v>
      </c>
      <c r="AP21" s="216">
        <v>3</v>
      </c>
      <c r="AQ21" s="216">
        <v>3</v>
      </c>
      <c r="AR21" s="216">
        <v>3</v>
      </c>
      <c r="AS21" s="158">
        <f t="shared" si="19"/>
        <v>0</v>
      </c>
      <c r="AT21" s="158">
        <f t="shared" si="19"/>
        <v>0</v>
      </c>
      <c r="AU21" s="216"/>
      <c r="AV21" s="217"/>
      <c r="AW21" s="216"/>
      <c r="AX21" s="217"/>
      <c r="AY21" s="135">
        <f>SUBTOTAL(9,AY9:AY20)</f>
        <v>2005</v>
      </c>
      <c r="AZ21" s="136">
        <f>SUBTOTAL(9,AZ9:AZ20)</f>
        <v>1123</v>
      </c>
      <c r="BA21" s="136">
        <f>SUBTOTAL(9,BA9:BA20)</f>
        <v>1144</v>
      </c>
      <c r="BB21" s="136">
        <f>SUBTOTAL(9,BB9:BB20)</f>
        <v>1988</v>
      </c>
      <c r="BC21" s="137">
        <f>SUBTOTAL(9,BC9:BC20)</f>
        <v>287</v>
      </c>
      <c r="BD21" s="218">
        <f>IF(ISNUMBER(BA21/AZ21),BA21/AZ21," - ")</f>
        <v>1.018699910952805</v>
      </c>
      <c r="BE21" s="215">
        <f>IF(ISNUMBER(BB21/BA21),BB21/BA21, " - ")</f>
        <v>1.7377622377622377</v>
      </c>
      <c r="BF21" s="215">
        <f>IF(ISNUMBER(BC21/BA21),BC21/BA21, " - ")</f>
        <v>0.25087412587412589</v>
      </c>
      <c r="BG21" s="137">
        <f>IF(ISNUMBER((AY21+AZ21)/BA21),(AY21+AZ21)/BA21," - ")</f>
        <v>2.7342657342657342</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0IPxE1uL3xO2mNcQyI6BRibTAwDJgGkpp/Z6v8ycGTOjL3NuY+tzkqKXi1u6/235ScukGMGkt5alVH13/0sqtA==" saltValue="3pkotgt24kNXVgYv554l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ohu1MVE/vNzobfRcK10L/AIdoN/Q4KeXU5Ze9MkT4SIirTJwvzR2MPciGR/ZgEJrzb/R1OBhFmIQJo3PS+zKw==" saltValue="HaXhS0PAV8K4IeonGM4Vx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PONTEVEDRA  Resumenes por Partidos Judiciales  O PORRIÑO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11</v>
      </c>
      <c r="G10" s="498">
        <f>IF(ISNUMBER(Datos!I10),Datos!I10," - ")</f>
        <v>11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1</v>
      </c>
      <c r="AD10" s="504"/>
      <c r="AE10" s="517"/>
      <c r="AF10" s="506">
        <f>IF(ISNUMBER(Datos!L10),Datos!L10,"-")</f>
        <v>10</v>
      </c>
      <c r="AG10" s="504"/>
      <c r="AH10" s="504"/>
      <c r="AI10" s="504"/>
      <c r="AJ10" s="504"/>
      <c r="AK10" s="504"/>
      <c r="AL10" s="505"/>
      <c r="AM10" s="672">
        <f>IF(ISNUMBER(Datos!R10),Datos!R10," - ")</f>
        <v>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3</v>
      </c>
      <c r="BE10" s="620" t="str">
        <f>IF(ISNUMBER(Datos!BW10),Datos!BW10," - ")</f>
        <v xml:space="preserve"> - </v>
      </c>
      <c r="BF10" s="668" t="str">
        <f>IF(ISNUMBER(Datos!BX10),Datos!BX10," - ")</f>
        <v xml:space="preserve"> - </v>
      </c>
      <c r="BG10" s="669">
        <f>IF(ISNUMBER(Datos!K10/Datos!J10),Datos!K10/Datos!J10," - ")</f>
        <v>1.5</v>
      </c>
      <c r="BH10" s="670">
        <f>IF(ISNUMBER(((Datos!L10/Datos!K10)*11)/factor_trimestre),((Datos!L10/Datos!K10)*11)/factor_trimestre," - ")</f>
        <v>10.000000000000002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-0.16666666666666666</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92</v>
      </c>
      <c r="O12" s="504"/>
      <c r="P12" s="504"/>
      <c r="Q12" s="502">
        <f>IF(ISNUMBER(Datos!P12),Datos!P12,0)</f>
        <v>112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66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40</v>
      </c>
      <c r="AI12" s="504" t="str">
        <f>IF(ISNUMBER(Datos!CD12),Datos!CD12,"-")</f>
        <v>-</v>
      </c>
      <c r="AJ12" s="504" t="str">
        <f>IF(ISNUMBER(Datos!EN12),Datos!EN12," - ")</f>
        <v xml:space="preserve"> - </v>
      </c>
      <c r="AK12" s="504"/>
      <c r="AL12" s="505"/>
      <c r="AM12" s="672">
        <f>IF(ISNUMBER(Datos!R12),Datos!R12," - ")</f>
        <v>1520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157</v>
      </c>
      <c r="BD12" s="620">
        <f>IF(ISNUMBER(Datos!N12),Datos!N12," - ")</f>
        <v>186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0.84407796101949029</v>
      </c>
      <c r="BH12" s="670">
        <f>IF(ISNUMBER(((IF(J_V="SI",Datos!L12/Datos!K12,(Datos!L12+Datos!AB12)/(Datos!K12+Datos!AA12)))*11)/factor_trimestre),((IF(J_V="SI",Datos!L12/Datos!K12,(Datos!L12+Datos!AB12)/(Datos!K12+Datos!AA12)))*11)/factor_trimestre," - ")</f>
        <v>8.5150976909413867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3.1207598371777476E-2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11</v>
      </c>
      <c r="G14" s="1045">
        <f t="shared" si="1"/>
        <v>11</v>
      </c>
      <c r="H14" s="1046">
        <f t="shared" si="1"/>
        <v>0</v>
      </c>
      <c r="I14" s="1045">
        <f t="shared" si="1"/>
        <v>0</v>
      </c>
      <c r="J14" s="1014">
        <f t="shared" si="1"/>
        <v>0</v>
      </c>
      <c r="K14" s="1014">
        <f t="shared" si="1"/>
        <v>0</v>
      </c>
      <c r="L14" s="1046">
        <f t="shared" si="1"/>
        <v>0</v>
      </c>
      <c r="M14" s="1046">
        <f t="shared" si="1"/>
        <v>0</v>
      </c>
      <c r="N14" s="1046">
        <f t="shared" si="1"/>
        <v>92</v>
      </c>
      <c r="O14" s="1047">
        <f t="shared" si="1"/>
        <v>0</v>
      </c>
      <c r="P14" s="1047">
        <f t="shared" si="1"/>
        <v>0</v>
      </c>
      <c r="Q14" s="1046">
        <f t="shared" si="1"/>
        <v>112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67</v>
      </c>
      <c r="AD14" s="1046">
        <f t="shared" si="2"/>
        <v>0</v>
      </c>
      <c r="AE14" s="1046">
        <f t="shared" si="2"/>
        <v>0</v>
      </c>
      <c r="AF14" s="1046">
        <f t="shared" si="2"/>
        <v>10</v>
      </c>
      <c r="AG14" s="1046">
        <f t="shared" si="2"/>
        <v>0</v>
      </c>
      <c r="AH14" s="1046">
        <f t="shared" si="2"/>
        <v>40</v>
      </c>
      <c r="AI14" s="1046">
        <f t="shared" si="2"/>
        <v>0</v>
      </c>
      <c r="AJ14" s="1046">
        <f t="shared" si="2"/>
        <v>0</v>
      </c>
      <c r="AK14" s="1046">
        <f t="shared" si="2"/>
        <v>0</v>
      </c>
      <c r="AL14" s="1046">
        <f t="shared" si="2"/>
        <v>0</v>
      </c>
      <c r="AM14" s="1046">
        <f t="shared" si="2"/>
        <v>1525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158</v>
      </c>
      <c r="BD14" s="1046">
        <f t="shared" si="2"/>
        <v>189</v>
      </c>
      <c r="BE14" s="1046">
        <f t="shared" si="2"/>
        <v>0</v>
      </c>
      <c r="BF14" s="1046">
        <f t="shared" si="2"/>
        <v>0</v>
      </c>
      <c r="BG14" s="1046">
        <f>IF(ISNUMBER(Datos!K14/Datos!J14),Datos!K14/Datos!J14," - ")</f>
        <v>0.82495667244367421</v>
      </c>
      <c r="BH14" s="1050">
        <f>IF(ISNUMBER(((Datos!L14/Datos!K14)*11)/factor_trimestre),((Datos!L14/Datos!K14)*11)/factor_trimestre," - ")</f>
        <v>9.882352941176471</v>
      </c>
      <c r="BI14" s="1046">
        <f>IF(ISNUMBER('Resol  Asuntos'!D14/NºAsuntos!G14),'Resol  Asuntos'!D14/NºAsuntos!G14," - ")</f>
        <v>0.27915194346289751</v>
      </c>
      <c r="BJ14" s="1046" t="str">
        <f>IF(ISNUMBER(Datos!CI14/Datos!CJ14),Datos!CI14/Datos!CJ14," - ")</f>
        <v xml:space="preserve"> - </v>
      </c>
      <c r="BK14" s="1046">
        <f>SUBTOTAL(9,BK8:BK13)</f>
        <v>0</v>
      </c>
      <c r="BL14" s="1046">
        <f>IF(ISNUMBER((I14-AB14+L14)/(F14)),(I14-AB14+L14)/(F14)," - ")</f>
        <v>-0.27272727272727271</v>
      </c>
      <c r="BM14" s="1051">
        <f>SUBTOTAL(9,BM9:BM13)</f>
        <v>-0.13545906829488918</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612</v>
      </c>
      <c r="G17" s="651">
        <f>IF(ISNUMBER(IF(D_I="SI",Datos!I17,Datos!I17+Datos!AC17)),IF(D_I="SI",Datos!I17,Datos!I17+Datos!AC17)," - ")</f>
        <v>611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300</v>
      </c>
      <c r="AC17" s="231">
        <f>IF(ISNUMBER(Datos!Q17),Datos!Q17," - ")</f>
        <v>3</v>
      </c>
      <c r="AD17" s="344"/>
      <c r="AE17" s="516"/>
      <c r="AF17" s="649">
        <f>IF(ISNUMBER(IF(D_I="SI",Datos!L17,Datos!L17+Datos!AF17)),IF(D_I="SI",Datos!L17,Datos!L17+Datos!AF17)," - ")</f>
        <v>703</v>
      </c>
      <c r="AG17" s="344"/>
      <c r="AH17" s="344"/>
      <c r="AI17" s="344"/>
      <c r="AJ17" s="504"/>
      <c r="AK17" s="344"/>
      <c r="AL17" s="500"/>
      <c r="AM17" s="345">
        <f>IF(ISNUMBER(Datos!R17),Datos!R17," - ")</f>
        <v>72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60</v>
      </c>
      <c r="BD17" s="234">
        <f>IF(ISNUMBER(Datos!N17),Datos!N17," - ")</f>
        <v>153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0.76726342710997442</v>
      </c>
      <c r="BH17" s="670">
        <f>IF(ISNUMBER(((IF(D_I="SI",Datos!L17/Datos!K17,(Datos!L17+Datos!AF17)/(Datos!K17+Datos!AE17)))*11)/factor_trimestre),((IF(D_I="SI",Datos!L17/Datos!K17,(Datos!L17+Datos!AF17)/(Datos!K17+Datos!AE17)))*11)/factor_trimestre," - ")</f>
        <v>7.03</v>
      </c>
      <c r="BI17" s="248">
        <f>IF(ISNUMBER('Resol  Asuntos'!D17/NºAsuntos!G17),'Resol  Asuntos'!D17/NºAsuntos!G17," - ")</f>
        <v>0.2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21</v>
      </c>
      <c r="AC18" s="502">
        <f>IF(ISNUMBER(Datos!Q18),Datos!Q18," - ")</f>
        <v>0</v>
      </c>
      <c r="AD18" s="504"/>
      <c r="AE18" s="516"/>
      <c r="AF18" s="506">
        <f>IF(ISNUMBER(Datos!L18),Datos!L18,"-")</f>
        <v>21</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12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0.84</v>
      </c>
      <c r="BH18" s="670">
        <f>IF(ISNUMBER(((IF(D_I="SI",Datos!L18/Datos!K18,(Datos!L18+Datos!AF18)/(Datos!K18+Datos!AE18)))*11)/factor_trimestre),((IF(D_I="SI",Datos!L18/Datos!K18,(Datos!L18+Datos!AF18)/(Datos!K18+Datos!AE18)))*11)/factor_trimestre," - ")</f>
        <v>3</v>
      </c>
      <c r="BI18" s="669">
        <f>IF(ISNUMBER('Resol  Asuntos'!D18/NºAsuntos!G18),'Resol  Asuntos'!D18/NºAsuntos!G18," - ")</f>
        <v>9.5238095238095233E-2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612</v>
      </c>
      <c r="G20" s="1045">
        <f>SUBTOTAL(9,G16:G19)</f>
        <v>628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321</v>
      </c>
      <c r="AC20" s="1046">
        <f t="shared" si="5"/>
        <v>3</v>
      </c>
      <c r="AD20" s="1046">
        <f t="shared" si="5"/>
        <v>0</v>
      </c>
      <c r="AE20" s="1046">
        <f t="shared" si="5"/>
        <v>0</v>
      </c>
      <c r="AF20" s="1046">
        <f t="shared" si="5"/>
        <v>724</v>
      </c>
      <c r="AG20" s="1046">
        <f t="shared" si="5"/>
        <v>0</v>
      </c>
      <c r="AH20" s="1046">
        <f t="shared" si="5"/>
        <v>0</v>
      </c>
      <c r="AI20" s="1046">
        <f t="shared" si="5"/>
        <v>0</v>
      </c>
      <c r="AJ20" s="1046">
        <f t="shared" si="5"/>
        <v>0</v>
      </c>
      <c r="AK20" s="1046">
        <f t="shared" si="5"/>
        <v>0</v>
      </c>
      <c r="AL20" s="1046">
        <f t="shared" si="5"/>
        <v>0</v>
      </c>
      <c r="AM20" s="1046">
        <f t="shared" si="5"/>
        <v>73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62</v>
      </c>
      <c r="BD20" s="1046">
        <f t="shared" si="5"/>
        <v>165</v>
      </c>
      <c r="BE20" s="1046">
        <f t="shared" si="5"/>
        <v>0</v>
      </c>
      <c r="BF20" s="1046">
        <f t="shared" si="5"/>
        <v>0</v>
      </c>
      <c r="BG20" s="1046">
        <f>IF(ISNUMBER(Datos!K20/Datos!J20),Datos!K20/Datos!J20," - ")</f>
        <v>0.77163461538461542</v>
      </c>
      <c r="BH20" s="1050">
        <f>IF(ISNUMBER(((Datos!L20/Datos!K20)*11)/factor_trimestre),((Datos!L20/Datos!K20)*11)/factor_trimestre," - ")</f>
        <v>6.7663551401869162</v>
      </c>
      <c r="BI20" s="1046">
        <f>SUBTOTAL(9,BI16:BI19)</f>
        <v>0.29523809523809524</v>
      </c>
      <c r="BJ20" s="1046">
        <f>SUBTOTAL(9,BJ16:BJ19)</f>
        <v>0</v>
      </c>
      <c r="BK20" s="1046">
        <f>SUBTOTAL(9,BK16:BK19)</f>
        <v>0</v>
      </c>
      <c r="BL20" s="1046">
        <f>IF(ISNUMBER((I20-AB20+L20)/(F20)),(I20-AB20+L20)/(F20)," - ")</f>
        <v>-0.52450980392156865</v>
      </c>
      <c r="BM20" s="1052">
        <f>IF(ISNUMBER((Datos!P20-Datos!Q20)/(Datos!R20-Datos!P20+Datos!Q20)),(Datos!P20-Datos!Q20)/(Datos!R20-Datos!P20+Datos!Q20)," - ")</f>
        <v>5.7971014492753624E-2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623</v>
      </c>
      <c r="G21" s="967">
        <f t="shared" si="7"/>
        <v>639</v>
      </c>
      <c r="H21" s="969">
        <f t="shared" si="7"/>
        <v>0</v>
      </c>
      <c r="I21" s="967">
        <f t="shared" si="7"/>
        <v>0</v>
      </c>
      <c r="J21" s="969">
        <f t="shared" si="7"/>
        <v>0</v>
      </c>
      <c r="K21" s="969">
        <f t="shared" si="7"/>
        <v>0</v>
      </c>
      <c r="L21" s="1028">
        <f t="shared" si="7"/>
        <v>0</v>
      </c>
      <c r="M21" s="1028">
        <f t="shared" si="7"/>
        <v>0</v>
      </c>
      <c r="N21" s="1028">
        <f t="shared" si="7"/>
        <v>92</v>
      </c>
      <c r="O21" s="1028">
        <f t="shared" si="7"/>
        <v>0</v>
      </c>
      <c r="P21" s="1028">
        <f t="shared" si="7"/>
        <v>0</v>
      </c>
      <c r="Q21" s="969">
        <f t="shared" si="7"/>
        <v>119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324</v>
      </c>
      <c r="AC21" s="968">
        <f t="shared" si="8"/>
        <v>70</v>
      </c>
      <c r="AD21" s="968">
        <f t="shared" si="8"/>
        <v>0</v>
      </c>
      <c r="AE21" s="968">
        <f t="shared" si="8"/>
        <v>0</v>
      </c>
      <c r="AF21" s="975">
        <f t="shared" si="8"/>
        <v>734</v>
      </c>
      <c r="AG21" s="975">
        <f t="shared" si="8"/>
        <v>0</v>
      </c>
      <c r="AH21" s="975">
        <f t="shared" si="8"/>
        <v>40</v>
      </c>
      <c r="AI21" s="975">
        <f t="shared" si="8"/>
        <v>0</v>
      </c>
      <c r="AJ21" s="968">
        <f t="shared" si="8"/>
        <v>0</v>
      </c>
      <c r="AK21" s="975">
        <f t="shared" si="8"/>
        <v>0</v>
      </c>
      <c r="AL21" s="975">
        <f t="shared" si="8"/>
        <v>0</v>
      </c>
      <c r="AM21" s="975">
        <f t="shared" si="8"/>
        <v>1598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220</v>
      </c>
      <c r="BD21" s="967">
        <f t="shared" si="8"/>
        <v>354</v>
      </c>
      <c r="BE21" s="967">
        <f t="shared" si="8"/>
        <v>0</v>
      </c>
      <c r="BF21" s="977">
        <f t="shared" si="8"/>
        <v>0</v>
      </c>
      <c r="BG21" s="1062">
        <f>IF(ISNUMBER(Datos!K21/Datos!J21),Datos!K21/Datos!J21," - ")</f>
        <v>0.80261832829808666</v>
      </c>
      <c r="BH21" s="1062">
        <f>IF(ISNUMBER(((Datos!L21/Datos!K21)*11)/factor_trimestre),((Datos!L21/Datos!K21)*11)/factor_trimestre," - ")</f>
        <v>8.6273525721455453</v>
      </c>
      <c r="BI21" s="960">
        <f>IF(ISNUMBER(Datos!J21/Datos!I21),Datos!J21/Datos!I21," - ")</f>
        <v>0.47398568019093079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-0.5200642054574639</v>
      </c>
      <c r="BM21" s="1036">
        <f>IF(ISNUMBER((Datos!P21-Datos!Q21+R21)/(Datos!R21-Datos!P21+Datos!Q21-R21)),(Datos!P21-Datos!Q21+R21)/(Datos!R21-Datos!P21+Datos!Q21-R21)," - ")</f>
        <v>3.1633311814073597E-2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255.6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346.9875117829651</v>
      </c>
      <c r="G23" s="601">
        <f>IF(ISNUMBER(STDEV(G8:G20)),STDEV(G8:G20),"-")</f>
        <v>332.25712934412712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165.46842599118418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70.420640913489748</v>
      </c>
      <c r="BD23" s="600"/>
      <c r="BE23" s="600">
        <f>IF(ISNUMBER(STDEV(BE8:BE20)),STDEV(BE8:BE20),"-")</f>
        <v>0</v>
      </c>
      <c r="BF23" s="605">
        <f>IF(ISNUMBER(STDEV(BF8:BF20)),STDEV(BF8:BF20),"-")</f>
        <v>0</v>
      </c>
      <c r="BG23" s="915">
        <f>IF(ISNUMBER(STDEV(BG8:BG20)),STDEV(BG8:BG20),"-")</f>
        <v>0.28383378907446422</v>
      </c>
      <c r="BH23" s="919">
        <f>IF(ISNUMBER(STDEV(BH8:BH20)),STDEV(BH8:BH20),"-")</f>
        <v>2.6061045077249068</v>
      </c>
      <c r="BI23" s="254">
        <f>IF(ISNUMBER(STDEV(BI8:BI20)),STDEV(BI8:BI20),"-")</f>
        <v>9.146650091502842E-2</v>
      </c>
      <c r="BJ23" s="235" t="str">
        <f>IF(ISNUMBER(BL23/BM23),BL23/BM23," - ")</f>
        <v xml:space="preserve"> - </v>
      </c>
      <c r="BK23" s="627"/>
      <c r="BL23" s="608">
        <f>IF(ISNUMBER(STDEV(BL8:BL20)),STDEV(BL8:BL20),"-")</f>
        <v>0.17803713519180012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AR5G6MRT8fRjAPFwR7vqXBf85LiatpkGVwtOniMe7kZQwJLWRYpRR/WDH9NiiS1t0QjHq8Lzj8y82uqZerEDTQ==" saltValue="Oqebj/h9KLfh5vY+6X+L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PONTEVEDRA  Resumenes por Partidos Judiciales  O PORRIÑO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11</v>
      </c>
      <c r="G10" s="507">
        <f>IF(ISNUMBER(Datos!I10),Datos!I10," - ")</f>
        <v>11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1</v>
      </c>
      <c r="AA10" s="506">
        <f>IF(ISNUMBER(Datos!L10),Datos!L10,"-")</f>
        <v>10</v>
      </c>
      <c r="AB10" s="504"/>
      <c r="AC10" s="504"/>
      <c r="AD10" s="517"/>
      <c r="AE10" s="517">
        <f>IF(ISNUMBER(Datos!R10),Datos!R10," - ")</f>
        <v>5</v>
      </c>
      <c r="AF10" s="620" t="str">
        <f>IF(ISNUMBER(Datos!BV10),Datos!BV10," - ")</f>
        <v xml:space="preserve"> - </v>
      </c>
      <c r="AG10" s="507" t="str">
        <f>IF(ISNUMBER(Datos!DV10),Datos!DV10," - ")</f>
        <v xml:space="preserve"> - </v>
      </c>
      <c r="AH10" s="508"/>
      <c r="AI10" s="509"/>
      <c r="AJ10" s="507">
        <f>IF(ISNUMBER(Datos!M10),Datos!M10," - ")</f>
        <v>1</v>
      </c>
      <c r="AK10" s="620">
        <f>IF(ISNUMBER(Datos!N10),Datos!N10," - ")</f>
        <v>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10.000000000000002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-0.16666666666666666</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112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66</v>
      </c>
      <c r="AA12" s="506" t="str">
        <f>IF(ISNUMBER(IF(J_V="SI",Datos!L12,Datos!L12+Datos!AB12)-IF(Monitorios="SI",Datos!CD12,0)),
                          IF(J_V="SI",Datos!L12,Datos!L12+Datos!AB12)-IF(Monitorios="SI",Datos!CD12,0),
                          " - ")</f>
        <v xml:space="preserve"> - </v>
      </c>
      <c r="AB12" s="504"/>
      <c r="AC12" s="504"/>
      <c r="AD12" s="517"/>
      <c r="AE12" s="517">
        <f>IF(ISNUMBER(Datos!R12),Datos!R12," - ")</f>
        <v>1520</v>
      </c>
      <c r="AF12" s="620" t="str">
        <f>IF(ISNUMBER(Datos!BV12),Datos!BV12," - ")</f>
        <v xml:space="preserve"> - </v>
      </c>
      <c r="AG12" s="507" t="str">
        <f>IF(ISNUMBER(Datos!DV12),Datos!DV12," - ")</f>
        <v xml:space="preserve"> - </v>
      </c>
      <c r="AH12" s="508"/>
      <c r="AI12" s="509"/>
      <c r="AJ12" s="507">
        <f>IF(ISNUMBER(Datos!M12),Datos!M12," - ")</f>
        <v>157</v>
      </c>
      <c r="AK12" s="620">
        <f>IF(ISNUMBER(Datos!N12),Datos!N12," - ")</f>
        <v>186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8.5150976909413867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3.1207598371777476E-2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11</v>
      </c>
      <c r="G14" s="1045">
        <f>SUBTOTAL(9,G8:G13)</f>
        <v>11</v>
      </c>
      <c r="H14" s="1055"/>
      <c r="I14" s="1045">
        <f t="shared" ref="I14:N14" si="1">SUBTOTAL(9,I8:I13)</f>
        <v>0</v>
      </c>
      <c r="J14" s="1014">
        <f t="shared" si="1"/>
        <v>0</v>
      </c>
      <c r="K14" s="1055">
        <f t="shared" si="1"/>
        <v>0</v>
      </c>
      <c r="L14" s="1055">
        <f t="shared" si="1"/>
        <v>0</v>
      </c>
      <c r="M14" s="1055">
        <f t="shared" si="1"/>
        <v>0</v>
      </c>
      <c r="N14" s="1055">
        <f t="shared" si="1"/>
        <v>112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67</v>
      </c>
      <c r="AA14" s="1047">
        <f t="shared" si="3"/>
        <v>10</v>
      </c>
      <c r="AB14" s="1047">
        <f t="shared" si="3"/>
        <v>0</v>
      </c>
      <c r="AC14" s="1047">
        <f t="shared" si="3"/>
        <v>0</v>
      </c>
      <c r="AD14" s="1047">
        <f t="shared" si="3"/>
        <v>0</v>
      </c>
      <c r="AE14" s="1047">
        <f t="shared" si="3"/>
        <v>1525</v>
      </c>
      <c r="AF14" s="1055">
        <f t="shared" si="3"/>
        <v>0</v>
      </c>
      <c r="AG14" s="1055">
        <f t="shared" si="3"/>
        <v>0</v>
      </c>
      <c r="AH14" s="1055">
        <f t="shared" si="3"/>
        <v>0</v>
      </c>
      <c r="AI14" s="1055">
        <f t="shared" si="3"/>
        <v>0</v>
      </c>
      <c r="AJ14" s="1055">
        <f t="shared" si="3"/>
        <v>158</v>
      </c>
      <c r="AK14" s="1055">
        <f t="shared" si="3"/>
        <v>189</v>
      </c>
      <c r="AL14" s="1055">
        <f t="shared" si="3"/>
        <v>0</v>
      </c>
      <c r="AM14" s="1055">
        <f t="shared" si="3"/>
        <v>0</v>
      </c>
      <c r="AN14" s="1055">
        <f t="shared" si="3"/>
        <v>0</v>
      </c>
      <c r="AO14" s="1051">
        <f>IF(ISNUMBER(((NºAsuntos!I14/NºAsuntos!G14)*11)/factor_trimestre),((NºAsuntos!I14/NºAsuntos!G14)*11)/factor_trimestre," - ")</f>
        <v>8.5229681978798588</v>
      </c>
      <c r="AP14" s="1057" t="str">
        <f>IF(ISNUMBER(Datos!CI14/Datos!CJ14),Datos!CI14/Datos!CJ14," - ")</f>
        <v xml:space="preserve"> - </v>
      </c>
      <c r="AQ14" s="1075">
        <f t="shared" ref="AQ14:AV14" si="4">SUBTOTAL(9,AQ9:AQ13)</f>
        <v>0</v>
      </c>
      <c r="AR14" s="1075">
        <f t="shared" si="4"/>
        <v>-0.13545906829488918</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612</v>
      </c>
      <c r="G17" s="507">
        <f>IF(ISNUMBER(IF(D_I="SI",Datos!I17,Datos!I17+Datos!AC17)),IF(D_I="SI",Datos!I17,Datos!I17+Datos!AC17)," - ")</f>
        <v>611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300</v>
      </c>
      <c r="Z17" s="704">
        <f>IF(ISNUMBER(Datos!Q17),Datos!Q17," - ")</f>
        <v>3</v>
      </c>
      <c r="AA17" s="506">
        <f>IF(ISNUMBER(IF(D_I="SI",Datos!L17,Datos!L17+Datos!AF17)),IF(D_I="SI",Datos!L17,Datos!L17+Datos!AF17)," - ")</f>
        <v>703</v>
      </c>
      <c r="AB17" s="504"/>
      <c r="AC17" s="504"/>
      <c r="AD17" s="517"/>
      <c r="AE17" s="517">
        <f>IF(ISNUMBER(Datos!R17),Datos!R17," - ")</f>
        <v>72</v>
      </c>
      <c r="AF17" s="620" t="str">
        <f>IF(ISNUMBER(Datos!BV17),Datos!BV17," - ")</f>
        <v xml:space="preserve"> - </v>
      </c>
      <c r="AG17" s="507"/>
      <c r="AH17" s="508"/>
      <c r="AI17" s="509"/>
      <c r="AJ17" s="507">
        <f>IF(ISNUMBER(Datos!M17),Datos!M17," - ")</f>
        <v>60</v>
      </c>
      <c r="AK17" s="620">
        <f>IF(ISNUMBER(Datos!N17),Datos!N17," - ")</f>
        <v>153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7.03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21</v>
      </c>
      <c r="Z18" s="704">
        <f>IF(ISNUMBER(Datos!Q18),Datos!Q18," - ")</f>
        <v>0</v>
      </c>
      <c r="AA18" s="506">
        <f>IF(ISNUMBER(Datos!L18),Datos!L18,"-")</f>
        <v>21</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2</v>
      </c>
      <c r="AK18" s="620">
        <f>IF(ISNUMBER(Datos!N18),Datos!N18," - ")</f>
        <v>12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612</v>
      </c>
      <c r="G20" s="1045">
        <f>SUBTOTAL(9,G16:G19)</f>
        <v>628</v>
      </c>
      <c r="H20" s="1079">
        <f>SUBTOTAL(9,H16:H19)</f>
        <v>0</v>
      </c>
      <c r="I20" s="1058">
        <f>SUBTOTAL(9,I16:I19)</f>
        <v>0</v>
      </c>
      <c r="J20" s="1014">
        <f>SUBTOTAL(9,J15:J19)</f>
        <v>0</v>
      </c>
      <c r="K20" s="1079">
        <f t="shared" ref="K20:S20" si="5">SUBTOTAL(9,K16:K19)</f>
        <v>0</v>
      </c>
      <c r="L20" s="1079">
        <f t="shared" si="5"/>
        <v>0</v>
      </c>
      <c r="M20" s="1079">
        <f t="shared" si="5"/>
        <v>0</v>
      </c>
      <c r="N20" s="1079">
        <f t="shared" si="5"/>
        <v>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321</v>
      </c>
      <c r="Z20" s="1079">
        <f t="shared" si="6"/>
        <v>3</v>
      </c>
      <c r="AA20" s="1079">
        <f t="shared" si="6"/>
        <v>724</v>
      </c>
      <c r="AB20" s="1079">
        <f t="shared" si="6"/>
        <v>0</v>
      </c>
      <c r="AC20" s="1079">
        <f t="shared" si="6"/>
        <v>0</v>
      </c>
      <c r="AD20" s="1079">
        <f t="shared" si="6"/>
        <v>0</v>
      </c>
      <c r="AE20" s="1079">
        <f t="shared" si="6"/>
        <v>73</v>
      </c>
      <c r="AF20" s="1079">
        <f t="shared" si="6"/>
        <v>0</v>
      </c>
      <c r="AG20" s="1079">
        <f t="shared" si="6"/>
        <v>0</v>
      </c>
      <c r="AH20" s="1079">
        <f t="shared" si="6"/>
        <v>0</v>
      </c>
      <c r="AI20" s="1079">
        <f t="shared" si="6"/>
        <v>0</v>
      </c>
      <c r="AJ20" s="1079">
        <f t="shared" si="6"/>
        <v>62</v>
      </c>
      <c r="AK20" s="1079">
        <f t="shared" si="6"/>
        <v>165</v>
      </c>
      <c r="AL20" s="1079">
        <f t="shared" si="6"/>
        <v>0</v>
      </c>
      <c r="AM20" s="1079">
        <f t="shared" si="6"/>
        <v>0</v>
      </c>
      <c r="AN20" s="1079">
        <f t="shared" si="6"/>
        <v>0</v>
      </c>
      <c r="AO20" s="1081">
        <f>IF(ISNUMBER(((NºAsuntos!I20/NºAsuntos!G20)*11)/factor_trimestre),((NºAsuntos!I20/NºAsuntos!G20)*11)/factor_trimestre," - ")</f>
        <v>6.7663551401869162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623</v>
      </c>
      <c r="G21" s="967">
        <f t="shared" si="8"/>
        <v>639</v>
      </c>
      <c r="H21" s="968">
        <f t="shared" si="8"/>
        <v>0</v>
      </c>
      <c r="I21" s="967">
        <f t="shared" si="8"/>
        <v>0</v>
      </c>
      <c r="J21" s="969">
        <f t="shared" si="8"/>
        <v>0</v>
      </c>
      <c r="K21" s="967">
        <f t="shared" si="8"/>
        <v>0</v>
      </c>
      <c r="L21" s="970">
        <f t="shared" si="8"/>
        <v>0</v>
      </c>
      <c r="M21" s="967">
        <f t="shared" si="8"/>
        <v>0</v>
      </c>
      <c r="N21" s="968">
        <f t="shared" si="8"/>
        <v>119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324</v>
      </c>
      <c r="Z21" s="974">
        <f t="shared" si="9"/>
        <v>70</v>
      </c>
      <c r="AA21" s="975">
        <f t="shared" si="9"/>
        <v>734</v>
      </c>
      <c r="AB21" s="975">
        <f t="shared" si="9"/>
        <v>0</v>
      </c>
      <c r="AC21" s="975">
        <f t="shared" si="9"/>
        <v>0</v>
      </c>
      <c r="AD21" s="976">
        <f t="shared" si="9"/>
        <v>0</v>
      </c>
      <c r="AE21" s="976">
        <f t="shared" si="9"/>
        <v>1598</v>
      </c>
      <c r="AF21" s="977">
        <f t="shared" si="9"/>
        <v>0</v>
      </c>
      <c r="AG21" s="978">
        <f t="shared" si="9"/>
        <v>0</v>
      </c>
      <c r="AH21" s="979">
        <f t="shared" si="9"/>
        <v>0</v>
      </c>
      <c r="AI21" s="977">
        <f t="shared" si="9"/>
        <v>0</v>
      </c>
      <c r="AJ21" s="967">
        <f t="shared" si="9"/>
        <v>220</v>
      </c>
      <c r="AK21" s="967">
        <f t="shared" si="9"/>
        <v>354</v>
      </c>
      <c r="AL21" s="967">
        <f t="shared" si="9"/>
        <v>0</v>
      </c>
      <c r="AM21" s="980">
        <f t="shared" si="9"/>
        <v>0</v>
      </c>
      <c r="AN21" s="970">
        <f>IF(ISNUMBER(Datos!K21/Datos!J21),Datos!K21/Datos!J21," - ")</f>
        <v>0.80261832829808666</v>
      </c>
      <c r="AO21" s="970">
        <f>IF(ISNUMBER(FIND("06",Criterios!A8,1)),(IF(ISNUMBER(((Datos!R21/Datos!Q21)*11)/factor_trimestre),((Datos!R21/Datos!Q21)*11)/factor_trimestre," - ")),(IF(ISNUMBER(((Datos!L21/Datos!K21)*11)/factor_trimestre),((Datos!L21/Datos!K21)*11)/factor_trimestre," - ")))</f>
        <v>8.6273525721455453</v>
      </c>
      <c r="AP21" s="981" t="str">
        <f>IF(ISNUMBER(Datos!CI21/Datos!CJ21),Datos!CI21/Datos!CJ21," - ")</f>
        <v xml:space="preserve"> - </v>
      </c>
      <c r="AQ21" s="981">
        <f>IF(OR(ISNUMBER(FIND("01",Criterios!A8,1)),ISNUMBER(FIND("02",Criterios!A8,1)),ISNUMBER(FIND("03",Criterios!A8,1)),ISNUMBER(FIND("04",Criterios!A8,1))),(J21-Y21+K21)/(F21-K21),(I21-Y21+K21)/(F21-K21))</f>
        <v>-0.5200642054574639</v>
      </c>
      <c r="AR21" s="981">
        <f>IF(ISNUMBER((Datos!P21-Datos!Q21+O21)/(Datos!R21-Datos!P21+Datos!Q21-O21)),(Datos!P21-Datos!Q21+O21)/(Datos!R21-Datos!P21+Datos!Q21-O21)," - ")</f>
        <v>3.1633311814073597E-2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255.6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346.9875117829651</v>
      </c>
      <c r="G23" s="601">
        <f>IF(ISNUMBER(STDEV(G8:G20)),STDEV(G8:G20),"-")</f>
        <v>332.25712934412712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70.420640913489748</v>
      </c>
      <c r="AK23" s="257"/>
      <c r="AL23" s="257">
        <f>IF(ISNUMBER(STDEV(AL8:AL20)),STDEV(AL8:AL20),"-")</f>
        <v>0</v>
      </c>
      <c r="AM23" s="259">
        <f>IF(ISNUMBER(STDEV(AM8:AM20)),STDEV(AM8:AM20),"-")</f>
        <v>0</v>
      </c>
      <c r="AN23" s="587">
        <f>IF(ISNUMBER(STDEV(AN8:AN20)),STDEV(AN8:AN20),"-")</f>
        <v>0</v>
      </c>
      <c r="AO23" s="588">
        <f>IF(ISNUMBER(STDEV(AO8:AO20)),STDEV(AO8:AO20),"-")</f>
        <v>2.4128652254151519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4DdVJoIBldQwx3fonB3VBjaiFS+IzUOl1h1FiMO3m+CVIpl/czPb+Z9713JEmruNKDR45frPnO+1JGX3RML/xg==" saltValue="An6ffh8CeDoQu05yQj8d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8kI2U2bpjOuAYMDqcnsw2G/03gQc50xmFZ4e0IBrNKcou0DRe7grAYjT3dzmFF2hgsUaWV+OeqO8HciEUZcLPw==" saltValue="V5w8dACFXCZO6ou/6fiw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XDtYzDRfx3C0Yh6A5Hy8aVAABR3iBp8VQe6KYZbmhfTJ5arIoJs5SZm83DadKsCrf4YM5OlYRn3fW7tEX50GA==" saltValue="VtdGF0GShlTNK54AFtSj0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PONTEVEDRA  Resumenes por Partidos Judiciales  O PORRIÑO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0.27915194346289751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0.19739023220401855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VeflsU0mfoslSiykUiEODLYPUsqLvsODSEDuju945JoAmQPDMfmRyZa/TK17JgTObWu/ZpmGFz/FMIHo3AVltw==" saltValue="M4WG6GrOkz38c8xxuV2zV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l8lTJG+dTmvP+lWMte8CO+s5KwjpT+0bbtxAsSdS1S65OWO5XFzBU87nZ2wtUKaf9ge0i2DXie9/FTiu7D/LMg==" saltValue="fd7z+VObzCwsam6aKBEl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PONTEVEDRA</v>
      </c>
      <c r="D3" s="400"/>
      <c r="E3" s="400"/>
      <c r="F3" s="400"/>
    </row>
    <row r="4" spans="1:14" ht="13.5" thickBot="1">
      <c r="A4" s="400"/>
      <c r="B4" s="403" t="str">
        <f>Criterios!A11 &amp;"  "&amp;Criterios!B11</f>
        <v>Resumenes por Partidos Judiciales  O PORRIÑO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11</v>
      </c>
      <c r="D10" s="416">
        <f>IF(ISNUMBER(C10/Datos!BH10),C10/Datos!BH10," - ")</f>
        <v>11</v>
      </c>
      <c r="E10" s="415">
        <f>IF(ISNUMBER(Datos!J10),Datos!J10," - ")</f>
        <v>2</v>
      </c>
      <c r="F10" s="416">
        <f>IF(ISNUMBER(E10/B10),E10/B10," - ")</f>
        <v>2</v>
      </c>
      <c r="G10" s="415">
        <f>IF(ISNUMBER(Datos!K10),Datos!K10," - ")</f>
        <v>3</v>
      </c>
      <c r="H10" s="416">
        <f>IF(ISNUMBER(G10/B10),G10/B10," - ")</f>
        <v>3</v>
      </c>
      <c r="I10" s="415">
        <f>IF(ISNUMBER(Datos!L10),Datos!L10," - ")</f>
        <v>10</v>
      </c>
      <c r="J10" s="416">
        <f>IF(ISNUMBER(I10/B10),I10/B10," - ")</f>
        <v>10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1494</v>
      </c>
      <c r="D12" s="416">
        <f>IF(ISNUMBER(C12/Datos!BH12),C12/Datos!BH12," - ")</f>
        <v>498</v>
      </c>
      <c r="E12" s="415">
        <f>IF(ISNUMBER(IF(J_V="SI",Datos!J12,Datos!J12+Datos!Z12)),IF(J_V="SI",Datos!J12,Datos!J12+Datos!Z12)," - ")</f>
        <v>667</v>
      </c>
      <c r="F12" s="416">
        <f>IF(ISNUMBER(E12/B12),E12/B12," - ")</f>
        <v>222.33333333333334</v>
      </c>
      <c r="G12" s="415">
        <f>IF(ISNUMBER(IF(J_V="SI",Datos!K12,Datos!K12+Datos!AA12)),IF(J_V="SI",Datos!K12,Datos!K12+Datos!AA12)," - ")</f>
        <v>563</v>
      </c>
      <c r="H12" s="416">
        <f>IF(ISNUMBER(G12/B12),G12/B12," - ")</f>
        <v>187.66666666666666</v>
      </c>
      <c r="I12" s="415">
        <f>IF(ISNUMBER(IF(J_V="SI",Datos!L12,Datos!L12+Datos!AB12)),IF(J_V="SI",Datos!L12,Datos!L12+Datos!AB12)," - ")</f>
        <v>1598</v>
      </c>
      <c r="J12" s="416">
        <f>IF(ISNUMBER(I12/B12),I12/B12," - ")</f>
        <v>532.66666666666663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1505</v>
      </c>
      <c r="D14" s="997" t="str">
        <f>IF(ISNUMBER(C14/Datos!BI14),C14/Datos!BI14," - ")</f>
        <v xml:space="preserve"> - </v>
      </c>
      <c r="E14" s="996">
        <f>SUBTOTAL(9,E8:E13)</f>
        <v>669</v>
      </c>
      <c r="F14" s="997">
        <f>IF(ISNUMBER(E14/B14),E14/B14," - ")</f>
        <v>223</v>
      </c>
      <c r="G14" s="996">
        <f>SUBTOTAL(9,G8:G13)</f>
        <v>566</v>
      </c>
      <c r="H14" s="997">
        <f>IF(ISNUMBER(G14/B14),G14/B14," - ")</f>
        <v>188.66666666666666</v>
      </c>
      <c r="I14" s="996">
        <f>SUBTOTAL(9,I8:I13)</f>
        <v>1608</v>
      </c>
      <c r="J14" s="997">
        <f>IF(ISNUMBER(I14/B14),I14/B14," - ")</f>
        <v>536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611</v>
      </c>
      <c r="D17" s="416">
        <f>IF(ISNUMBER(C17/Datos!BH17),C17/Datos!BH17," - ")</f>
        <v>203.66666666666666</v>
      </c>
      <c r="E17" s="415">
        <f>IF(ISNUMBER(IF(D_I="SI",Datos!J17,Datos!J17+Datos!AD17)),IF(D_I="SI",Datos!J17,Datos!J17+Datos!AD17)," - ")</f>
        <v>391</v>
      </c>
      <c r="F17" s="416">
        <f>IF(ISNUMBER(E17/B17),E17/B17," - ")</f>
        <v>130.33333333333334</v>
      </c>
      <c r="G17" s="415">
        <f>IF(ISNUMBER(IF(D_I="SI",Datos!K17,Datos!K17+Datos!AE17)),IF(D_I="SI",Datos!K17,Datos!K17+Datos!AE17)," - ")</f>
        <v>300</v>
      </c>
      <c r="H17" s="416">
        <f>IF(ISNUMBER(G17/B17),G17/B17," - ")</f>
        <v>100</v>
      </c>
      <c r="I17" s="415">
        <f>IF(ISNUMBER(IF(D_I="SI",Datos!L17,Datos!L17+Datos!AF17)),IF(D_I="SI",Datos!L17,Datos!L17+Datos!AF17)," - ")</f>
        <v>703</v>
      </c>
      <c r="J17" s="416">
        <f>IF(ISNUMBER(I17/B17),I17/B17," - ")</f>
        <v>234.33333333333334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17</v>
      </c>
      <c r="D18" s="416">
        <f>IF(ISNUMBER(C18/Datos!BH18),C18/Datos!BH18," - ")</f>
        <v>17</v>
      </c>
      <c r="E18" s="415">
        <f>IF(ISNUMBER(IF(D_I="SI",Datos!J18,Datos!J18+Datos!AD18)),IF(D_I="SI",Datos!J18,Datos!J18+Datos!AD18)," - ")</f>
        <v>25</v>
      </c>
      <c r="F18" s="416">
        <f>IF(ISNUMBER(E18/B18),E18/B18," - ")</f>
        <v>25</v>
      </c>
      <c r="G18" s="415">
        <f>IF(ISNUMBER(IF(D_I="SI",Datos!K18,Datos!K18+Datos!AE18)),IF(D_I="SI",Datos!K18,Datos!K18+Datos!AE18)," - ")</f>
        <v>21</v>
      </c>
      <c r="H18" s="416">
        <f>IF(ISNUMBER(G18/B18),G18/B18," - ")</f>
        <v>21</v>
      </c>
      <c r="I18" s="415">
        <f>IF(ISNUMBER(IF(D_I="SI",Datos!L18,Datos!L18+Datos!AF18)),IF(D_I="SI",Datos!L18,Datos!L18+Datos!AF18)," - ")</f>
        <v>21</v>
      </c>
      <c r="J18" s="416">
        <f>IF(ISNUMBER(I18/B18),I18/B18," - ")</f>
        <v>21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628</v>
      </c>
      <c r="D20" s="997" t="str">
        <f>IF(ISNUMBER(C20/Datos!BI20),C20/Datos!BI20," - ")</f>
        <v xml:space="preserve"> - </v>
      </c>
      <c r="E20" s="996">
        <f>SUBTOTAL(9,E15:E19)</f>
        <v>416</v>
      </c>
      <c r="F20" s="997">
        <f>IF(ISNUMBER(E20/B20),E20/B20," - ")</f>
        <v>138.66666666666666</v>
      </c>
      <c r="G20" s="996">
        <f>SUBTOTAL(9,G15:G19)</f>
        <v>321</v>
      </c>
      <c r="H20" s="997">
        <f>IF(ISNUMBER(G20/B20),G20/B20," - ")</f>
        <v>107</v>
      </c>
      <c r="I20" s="996">
        <f>SUBTOTAL(9,I15:I19)</f>
        <v>724</v>
      </c>
      <c r="J20" s="997">
        <f>IF(ISNUMBER(I20/B20),I20/B20," - ")</f>
        <v>241.33333333333334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2133</v>
      </c>
      <c r="D21" s="942" t="str">
        <f>IF(ISNUMBER(C21/Datos!BI21),C21/Datos!BI21," - ")</f>
        <v xml:space="preserve"> - </v>
      </c>
      <c r="E21" s="941">
        <f>SUBTOTAL(9,E9:E20)</f>
        <v>1085</v>
      </c>
      <c r="F21" s="942">
        <f>IF(ISNUMBER(E21/B21),E21/B21," - ")</f>
        <v>361.66666666666669</v>
      </c>
      <c r="G21" s="941">
        <f>SUBTOTAL(9,G9:G20)</f>
        <v>887</v>
      </c>
      <c r="H21" s="942">
        <f>IF(ISNUMBER(G21/B21),G21/B21," - ")</f>
        <v>295.66666666666669</v>
      </c>
      <c r="I21" s="941">
        <f>SUBTOTAL(9,I9:I20)</f>
        <v>2332</v>
      </c>
      <c r="J21" s="942">
        <f>IF(ISNUMBER(I21/B21),I21/B21," - ")</f>
        <v>777.33333333333337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NB68Ob3t5qZcuZI7Hon5LKF+/JiG2KNbUztALpvhaD0VS46SHu1AlVJYF469sepHNvkzXC0UtrR7So+N4jOxcg==" saltValue="Ysw8xwI4BU1yYvadZinYc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PONTEVEDRA  Resumenes por Partidos Judiciales  O PORRIÑO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11</v>
      </c>
      <c r="G10" s="803">
        <f>IF(ISNUMBER(Datos!I10),Datos!I10," - ")</f>
        <v>11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10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3</v>
      </c>
      <c r="AN10" s="811">
        <f>IF(ISNUMBER(Datos!BW10+DatosP!BW18),Datos!BW10+DatosP!BW18," - ")</f>
        <v>0</v>
      </c>
      <c r="AO10" s="812">
        <f>IF(ISNUMBER(Datos!BX10+DatosP!BX18),Datos!BX10+DatosP!BX18," - ")</f>
        <v>0</v>
      </c>
      <c r="AP10" s="814">
        <f>IF(ISNUMBER(((Datos!L10/Datos!K10)*11)/factor_trimestre),((Datos!L10/Datos!K10)*11)/factor_trimestre," - ")</f>
        <v>10.000000000000002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112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66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1520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157</v>
      </c>
      <c r="AM12" s="811">
        <f>IF(ISNUMBER(Datos!N12+DatosP!N17),Datos!N12+DatosP!N17," - ")</f>
        <v>186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8.5150976909413867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3.1207598371777476E-2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11</v>
      </c>
      <c r="G14" s="1085">
        <f t="shared" si="0"/>
        <v>11</v>
      </c>
      <c r="H14" s="1085">
        <f t="shared" si="0"/>
        <v>0</v>
      </c>
      <c r="I14" s="1087">
        <f t="shared" si="0"/>
        <v>0</v>
      </c>
      <c r="J14" s="1086">
        <f t="shared" si="0"/>
        <v>0</v>
      </c>
      <c r="K14" s="1086">
        <f t="shared" si="0"/>
        <v>0</v>
      </c>
      <c r="L14" s="1088">
        <f t="shared" si="0"/>
        <v>0</v>
      </c>
      <c r="M14" s="1088">
        <f t="shared" si="0"/>
        <v>0</v>
      </c>
      <c r="N14" s="1086">
        <f t="shared" si="0"/>
        <v>112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66</v>
      </c>
      <c r="AE14" s="1086">
        <f t="shared" si="1"/>
        <v>0</v>
      </c>
      <c r="AF14" s="1086">
        <f t="shared" si="1"/>
        <v>10</v>
      </c>
      <c r="AG14" s="1086">
        <f t="shared" si="1"/>
        <v>0</v>
      </c>
      <c r="AH14" s="1086">
        <f t="shared" si="1"/>
        <v>1520</v>
      </c>
      <c r="AI14" s="1086">
        <f t="shared" si="1"/>
        <v>0</v>
      </c>
      <c r="AJ14" s="1086">
        <f t="shared" si="1"/>
        <v>0</v>
      </c>
      <c r="AK14" s="1086">
        <f t="shared" si="1"/>
        <v>0</v>
      </c>
      <c r="AL14" s="1086">
        <f t="shared" si="1"/>
        <v>158</v>
      </c>
      <c r="AM14" s="1086">
        <f t="shared" si="1"/>
        <v>189</v>
      </c>
      <c r="AN14" s="1086">
        <f t="shared" si="1"/>
        <v>0</v>
      </c>
      <c r="AO14" s="1086">
        <f t="shared" si="1"/>
        <v>0</v>
      </c>
      <c r="AP14" s="1091">
        <f>IF(ISNUMBER(((Datos!L14/Datos!K14)*11)/factor_trimestre),((Datos!L14/Datos!K14)*11)/factor_trimestre," - ")</f>
        <v>9.882352941176471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-0.27272727272727271</v>
      </c>
      <c r="AU14" s="1086" t="str">
        <f>IF(ISNUMBER((DatosP!#REF!-DatosP!#REF!+DatosP!#REF!)/(DatosP!#REF!+DatosP!#REF!-DatosP!#REF!-DatosP!#REF!)),(DatosP!#REF!-DatosP!#REF!+DatosP!#REF!)/(DatosP!#REF!+DatosP!#REF!-DatosP!#REF!-DatosP!#REF!)," - ")</f>
        <v xml:space="preserve"> - </v>
      </c>
      <c r="AV14" s="1092">
        <f>SUBTOTAL(9,AV9:AV13)</f>
        <v>3.1207598371777476E-2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6.7663551401869162</v>
      </c>
      <c r="AQ20" s="1091">
        <f>IF(ISNUMBER(((Datos!M20/Datos!L20)*11)/factor_trimestre),((Datos!M20/Datos!L20)*11)/factor_trimestre," - ")</f>
        <v>0.25690607734806631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5.7971014492753624E-2</v>
      </c>
      <c r="AW20" s="1093">
        <f>IF(ISNUMBER((Datos!Q20-Datos!R20)/(Datos!S20-Datos!Q20+Datos!R20)),(Datos!Q20-Datos!R20)/(Datos!S20-Datos!Q20+Datos!R20)," - ")</f>
        <v>-0.10638297872340426</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11</v>
      </c>
      <c r="G21" s="1098">
        <f t="shared" si="4"/>
        <v>11</v>
      </c>
      <c r="H21" s="1098">
        <f t="shared" si="4"/>
        <v>0</v>
      </c>
      <c r="I21" s="1099">
        <f t="shared" si="4"/>
        <v>0</v>
      </c>
      <c r="J21" s="1100">
        <f t="shared" si="4"/>
        <v>0</v>
      </c>
      <c r="K21" s="1100">
        <f t="shared" si="4"/>
        <v>0</v>
      </c>
      <c r="L21" s="1100">
        <f t="shared" si="4"/>
        <v>0</v>
      </c>
      <c r="M21" s="1100">
        <f t="shared" si="4"/>
        <v>0</v>
      </c>
      <c r="N21" s="1099">
        <f t="shared" si="4"/>
        <v>112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66</v>
      </c>
      <c r="AE21" s="1104">
        <f t="shared" si="5"/>
        <v>0</v>
      </c>
      <c r="AF21" s="1105">
        <f t="shared" si="5"/>
        <v>10</v>
      </c>
      <c r="AG21" s="1105">
        <f t="shared" si="5"/>
        <v>0</v>
      </c>
      <c r="AH21" s="1105">
        <f t="shared" si="5"/>
        <v>1520</v>
      </c>
      <c r="AI21" s="1105">
        <f t="shared" si="5"/>
        <v>0</v>
      </c>
      <c r="AJ21" s="1106">
        <f t="shared" si="5"/>
        <v>0</v>
      </c>
      <c r="AK21" s="1106">
        <f t="shared" si="5"/>
        <v>0</v>
      </c>
      <c r="AL21" s="1098">
        <f t="shared" si="5"/>
        <v>158</v>
      </c>
      <c r="AM21" s="1098">
        <f t="shared" si="5"/>
        <v>189</v>
      </c>
      <c r="AN21" s="1098">
        <f t="shared" si="5"/>
        <v>0</v>
      </c>
      <c r="AO21" s="1098">
        <f t="shared" si="5"/>
        <v>0</v>
      </c>
      <c r="AP21" s="1098">
        <f>IF(ISNUMBER(((Datos!L21/Datos!K21)*11)/factor_trimestre),((Datos!L21/Datos!K21)*11)/factor_trimestre," - ")</f>
        <v>8.6273525721455453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-0.27272727272727271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3.1633311814073597E-2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7.333333333333333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6.3508529610858826</v>
      </c>
      <c r="G23" s="871">
        <f>IF(ISNUMBER(STDEV(G8:G20)),STDEV(G8:G20),"-")</f>
        <v>6.3508529610858826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90.645830939247645</v>
      </c>
      <c r="AM23" s="870"/>
      <c r="AN23" s="870">
        <f>IF(ISNUMBER(STDEV(AN8:AN20)),STDEV(AN8:AN20),"-")</f>
        <v>0</v>
      </c>
      <c r="AO23" s="876">
        <f>IF(ISNUMBER(STDEV(AO8:AO20)),STDEV(AO8:AO20),"-")</f>
        <v>0</v>
      </c>
      <c r="AP23" s="923">
        <f>IF(ISNUMBER(STDEV(AP8:AP20)),STDEV(AP8:AP20),"-")</f>
        <v>1.508646316547263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Tsfk3g/t3b+vnzeV46oroEmCvhzmuWvBQJiShtuMaZKvwtld2dsYFdPr+AF3rnmOH+OnWFaNlzLgta/QHd5pGA==" saltValue="kbDZWEP4J18/yPWfwlXj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PONTEVEDRA</v>
      </c>
      <c r="C3" s="427"/>
      <c r="F3" s="400"/>
      <c r="G3" s="400"/>
      <c r="H3" s="400"/>
    </row>
    <row r="4" spans="1:15" ht="13.5" thickBot="1">
      <c r="A4" s="400"/>
      <c r="B4" s="403" t="str">
        <f>Criterios!A11 &amp;"  "&amp;Criterios!B11</f>
        <v>Resumenes por Partidos Judiciales  O PORRIÑO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o1teQwZ5BgPDDLfordGFVmGjopGmuk2/VW7z5/S81Jrw3adl0FX+IQyAva0SddpmX+uuppYxHL5Q+TPG4U61uw==" saltValue="tmHlxaOwDLNa1JdYzElfH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PONTEVEDRA</v>
      </c>
      <c r="C3" s="439"/>
      <c r="D3" s="440"/>
    </row>
    <row r="4" spans="1:9" ht="13.5" thickBot="1">
      <c r="B4" s="441" t="str">
        <f>Criterios!A11 &amp;"  "&amp;Criterios!B11</f>
        <v>Resumenes por Partidos Judiciales  O PORRIÑO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3</v>
      </c>
      <c r="G10" s="416">
        <f>IF(ISNUMBER(F10/B10),F10/B10," - ")</f>
        <v>3</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157</v>
      </c>
      <c r="E12" s="416">
        <f t="shared" si="0"/>
        <v>52.333333333333336</v>
      </c>
      <c r="F12" s="415">
        <f>IF(ISNUMBER(Datos!N12),Datos!N12," - ")</f>
        <v>186</v>
      </c>
      <c r="G12" s="416">
        <f t="shared" si="1"/>
        <v>62</v>
      </c>
      <c r="H12" s="415">
        <f>IF(ISNUMBER(Datos!O12),Datos!O12," - ")</f>
        <v>202</v>
      </c>
      <c r="I12" s="416">
        <f t="shared" si="2"/>
        <v>67.333333333333329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158</v>
      </c>
      <c r="E14" s="997">
        <f t="shared" si="0"/>
        <v>39.5</v>
      </c>
      <c r="F14" s="996">
        <f>SUBTOTAL(9,F9:F13)</f>
        <v>189</v>
      </c>
      <c r="G14" s="997">
        <f t="shared" si="1"/>
        <v>47.25</v>
      </c>
      <c r="H14" s="996">
        <f>SUBTOTAL(9,H9:H13)</f>
        <v>202</v>
      </c>
      <c r="I14" s="997">
        <f>IF(ISNUMBER(H14/B14),H14/B14," - ")</f>
        <v>50.5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60</v>
      </c>
      <c r="E17" s="416">
        <f t="shared" si="3"/>
        <v>20</v>
      </c>
      <c r="F17" s="415">
        <f>IF(ISNUMBER(Datos!N17),Datos!N17," - ")</f>
        <v>153</v>
      </c>
      <c r="G17" s="416">
        <f t="shared" si="4"/>
        <v>51</v>
      </c>
      <c r="H17" s="415">
        <f>IF(ISNUMBER(Datos!O17),Datos!O17," - ")</f>
        <v>3</v>
      </c>
      <c r="I17" s="416">
        <f t="shared" si="5"/>
        <v>1</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12</v>
      </c>
      <c r="G18" s="416">
        <f>IF(ISNUMBER(F18/B18),F18/B18," - ")</f>
        <v>12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62</v>
      </c>
      <c r="E20" s="997">
        <f t="shared" si="3"/>
        <v>15.5</v>
      </c>
      <c r="F20" s="996">
        <f>SUBTOTAL(9,F16:F19)</f>
        <v>165</v>
      </c>
      <c r="G20" s="997">
        <f t="shared" si="4"/>
        <v>41.25</v>
      </c>
      <c r="H20" s="996">
        <f>SUBTOTAL(9,H16:H19)</f>
        <v>3</v>
      </c>
      <c r="I20" s="997">
        <f>IF(ISNUMBER(H20/B20),H20/B20," - ")</f>
        <v>0.75</v>
      </c>
    </row>
    <row r="21" spans="1:9" ht="14.25" thickTop="1" thickBot="1">
      <c r="A21" s="940" t="str">
        <f>Datos!A21</f>
        <v>TOTAL JURISDICCIONES</v>
      </c>
      <c r="B21" s="941">
        <f>Datos!AP21</f>
        <v>3</v>
      </c>
      <c r="C21" s="941">
        <f>Datos!AR21</f>
        <v>3</v>
      </c>
      <c r="D21" s="941">
        <f>SUBTOTAL(9,D8:D20)</f>
        <v>220</v>
      </c>
      <c r="E21" s="942">
        <f>IF(ISNUMBER(D21/B21),D21/B21," - ")</f>
        <v>73.333333333333329</v>
      </c>
      <c r="F21" s="941">
        <f>SUBTOTAL(9,F8:F20)</f>
        <v>354</v>
      </c>
      <c r="G21" s="942">
        <f>IF(ISNUMBER(F21/B21),F21/B21," - ")</f>
        <v>118</v>
      </c>
      <c r="H21" s="941">
        <f>SUBTOTAL(9,H8:H20)</f>
        <v>205</v>
      </c>
      <c r="I21" s="942">
        <f>IF(ISNUMBER(H21/B21),H21/B21," - ")</f>
        <v>68.333333333333329</v>
      </c>
    </row>
    <row r="24" spans="1:9">
      <c r="A24" s="403" t="str">
        <f>Criterios!A4</f>
        <v>Fecha Informe: 06 jun. 2023</v>
      </c>
    </row>
    <row r="29" spans="1:9">
      <c r="A29" s="426"/>
    </row>
  </sheetData>
  <sheetProtection algorithmName="SHA-512" hashValue="rczq+q51yCE2N1C43qyawN+Ds1+HhdPJMVxhgMpEP4meeSW5tFVvF/RrY06yi6KAUhKtG/iIdgoeU8zM+rlVNg==" saltValue="HnOkXgYZ0OLD2ljriUys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PONTEVEDRA</v>
      </c>
    </row>
    <row r="4" spans="1:4" ht="13.5" thickBot="1">
      <c r="B4" s="403" t="str">
        <f>Criterios!A11 &amp;"  "&amp;Criterios!B11</f>
        <v>Resumenes por Partidos Judiciales  O PORRIÑO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1</v>
      </c>
      <c r="D10" s="420">
        <f>IF(ISNUMBER(Datos!R10),Datos!R10," - ")</f>
        <v>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112</v>
      </c>
      <c r="C12" s="451">
        <f>IF(ISNUMBER(Datos!Q12),Datos!Q12," - ")</f>
        <v>66</v>
      </c>
      <c r="D12" s="420">
        <f>IF(ISNUMBER(Datos!R12),Datos!R12," - ")</f>
        <v>1520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112</v>
      </c>
      <c r="C14" s="1000">
        <f>SUBTOTAL(9,C9:C13)</f>
        <v>67</v>
      </c>
      <c r="D14" s="998">
        <f>SUBTOTAL(9,D9:D13)</f>
        <v>1525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7</v>
      </c>
      <c r="C17" s="451">
        <f>IF(ISNUMBER(Datos!Q17),Datos!Q17," - ")</f>
        <v>3</v>
      </c>
      <c r="D17" s="420">
        <f>IF(ISNUMBER(Datos!R17),Datos!R17," - ")</f>
        <v>72</v>
      </c>
    </row>
    <row r="18" spans="1:4">
      <c r="A18" s="414" t="str">
        <f>Datos!A18</f>
        <v>Jdos. Violencia contra la mujer</v>
      </c>
      <c r="B18" s="450">
        <f>IF(ISNUMBER(Datos!P18),Datos!P18," - ")</f>
        <v>0</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v>
      </c>
      <c r="C20" s="1000">
        <f>SUBTOTAL(9,C16:C19)</f>
        <v>3</v>
      </c>
      <c r="D20" s="998">
        <f>SUBTOTAL(9,D16:D19)</f>
        <v>73</v>
      </c>
    </row>
    <row r="21" spans="1:4" ht="16.5" customHeight="1" thickTop="1" thickBot="1">
      <c r="A21" s="940" t="str">
        <f>Datos!A21</f>
        <v>TOTAL JURISDICCIONES</v>
      </c>
      <c r="B21" s="945">
        <f>SUBTOTAL(9,B8:B20)</f>
        <v>119</v>
      </c>
      <c r="C21" s="946">
        <f>SUBTOTAL(9,C8:C20)</f>
        <v>70</v>
      </c>
      <c r="D21" s="947">
        <f>SUBTOTAL(9,D8:D20)</f>
        <v>1598</v>
      </c>
    </row>
    <row r="22" spans="1:4" ht="7.5" customHeight="1"/>
    <row r="23" spans="1:4" ht="6" customHeight="1"/>
    <row r="24" spans="1:4">
      <c r="A24" s="403" t="str">
        <f>Criterios!A4</f>
        <v>Fecha Informe: 06 jun. 2023</v>
      </c>
    </row>
    <row r="29" spans="1:4">
      <c r="A29" s="426"/>
    </row>
  </sheetData>
  <sheetProtection algorithmName="SHA-512" hashValue="QoMwmjPw/641iHgNUNo/o39KUTDIiHojVLaUWc6nuwCJ9ceFoKZIVJVyM+Mvg3FKimDVOhUex0IC/xPpqvl2SA==" saltValue="9HDlqAw509bN33BjCfku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PONTEVEDRA</v>
      </c>
    </row>
    <row r="4" spans="1:11" ht="10.5" customHeight="1" thickBot="1">
      <c r="B4" s="403" t="str">
        <f>Criterios!A11 &amp;"  "&amp;Criterios!B11</f>
        <v>Resumenes por Partidos Judiciales  O PORRIÑO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v>
      </c>
      <c r="C10" s="473">
        <f>IF(ISNUMBER((Datos!J10-Datos!T10)/Datos!T10),(Datos!J10-Datos!T10)/Datos!T10," - ")</f>
        <v>-0.6</v>
      </c>
      <c r="D10" s="473">
        <f>IF(ISNUMBER((Datos!K10-Datos!U10)/Datos!U10),(Datos!K10-Datos!U10)/Datos!U10," - ")</f>
        <v>0.5</v>
      </c>
      <c r="E10" s="473">
        <f>IF(ISNUMBER((Datos!L10-Datos!V10)/Datos!V10),(Datos!L10-Datos!V10)/Datos!V10," - ")</f>
        <v>-0.23076923076923078</v>
      </c>
      <c r="F10" s="473">
        <f>IF(ISNUMBER((Datos!M10-Datos!W10)/Datos!W10),(Datos!M10-Datos!W10)/Datos!W10," - ")</f>
        <v>0</v>
      </c>
      <c r="G10" s="474">
        <f>IF(ISNUMBER((Datos!N10-Datos!X10)/Datos!X10),(Datos!N10-Datos!X10)/Datos!X10," - ")</f>
        <v>2</v>
      </c>
      <c r="H10" s="472">
        <f>IF(ISNUMBER(((NºAsuntos!G10/NºAsuntos!E10)-Datos!BD10)/Datos!BD10),((NºAsuntos!G10/NºAsuntos!E10)-Datos!BD10)/Datos!BD10," - ")</f>
        <v>2.75</v>
      </c>
      <c r="I10" s="473">
        <f>IF(ISNUMBER(((NºAsuntos!I10/NºAsuntos!G10)-Datos!BE10)/Datos!BE10),((NºAsuntos!I10/NºAsuntos!G10)-Datos!BE10)/Datos!BE10," - ")</f>
        <v>-0.48717948717948717</v>
      </c>
      <c r="J10" s="478">
        <f>IF(ISNUMBER((('Resol  Asuntos'!D10/NºAsuntos!G10)-Datos!BF10)/Datos!BF10),(('Resol  Asuntos'!D10/NºAsuntos!G10)-Datos!BF10)/Datos!BF10," - ")</f>
        <v>-0.33333333333333337</v>
      </c>
      <c r="K10" s="479">
        <f>IF(ISNUMBER((((NºAsuntos!C10+NºAsuntos!E10)/NºAsuntos!G10)-Datos!BG10)/Datos!BG10),(((NºAsuntos!C10+NºAsuntos!E10)/NºAsuntos!G10)-Datos!BG10)/Datos!BG10," - ")</f>
        <v>-0.42222222222222228</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6.1833688699360338E-2</v>
      </c>
      <c r="C12" s="473">
        <f>IF(ISNUMBER(
   IF(J_V="SI",(Datos!J12-Datos!T12)/Datos!T12,(Datos!J12+Datos!Z12-(Datos!T12+Datos!AH12))/(Datos!T12+Datos!AH12))
     ),IF(J_V="SI",(Datos!J12-Datos!T12)/Datos!T12,(Datos!J12+Datos!Z12-(Datos!T12+Datos!AH12))/(Datos!T12+Datos!AH12))," - ")</f>
        <v>7.2347266881028938E-2</v>
      </c>
      <c r="D12" s="473">
        <f>IF(ISNUMBER(
   IF(J_V="SI",(Datos!K12-Datos!U12)/Datos!U12,(Datos!K12+Datos!AA12-(Datos!U12+Datos!AI12))/(Datos!U12+Datos!AI12))
     ),IF(J_V="SI",(Datos!K12-Datos!U12)/Datos!U12,(Datos!K12+Datos!AA12-(Datos!U12+Datos!AI12))/(Datos!U12+Datos!AI12))," - ")</f>
        <v>-2.4263431542461005E-2</v>
      </c>
      <c r="E12" s="473">
        <f>IF(ISNUMBER(
   IF(J_V="SI",(Datos!L12-Datos!V12)/Datos!V12,(Datos!L12+Datos!AB12-(Datos!V12+Datos!AJ12))/(Datos!V12+Datos!AJ12))
     ),IF(J_V="SI",(Datos!L12-Datos!V12)/Datos!V12,(Datos!L12+Datos!AB12-(Datos!V12+Datos!AJ12))/(Datos!V12+Datos!AJ12))," - ")</f>
        <v>0.10055096418732783</v>
      </c>
      <c r="F12" s="473">
        <f>IF(ISNUMBER((Datos!M12-Datos!W12)/Datos!W12),(Datos!M12-Datos!W12)/Datos!W12," - ")</f>
        <v>0.145985401459854</v>
      </c>
      <c r="G12" s="474">
        <f>IF(ISNUMBER((Datos!N12-Datos!X12)/Datos!X12),(Datos!N12-Datos!X12)/Datos!X12," - ")</f>
        <v>-3.125E-2</v>
      </c>
      <c r="H12" s="472">
        <f>IF(ISNUMBER(((NºAsuntos!G12/NºAsuntos!E12)-Datos!BD12)/Datos!BD12),((NºAsuntos!G12/NºAsuntos!E12)-Datos!BD12)/Datos!BD12," - ")</f>
        <v>-9.0092735261485285E-2</v>
      </c>
      <c r="I12" s="473">
        <f>IF(ISNUMBER(((NºAsuntos!I12/NºAsuntos!G12)-Datos!BE12)/Datos!BE12),((NºAsuntos!I12/NºAsuntos!G12)-Datos!BE12)/Datos!BE12," - ")</f>
        <v>0.12791812848328271</v>
      </c>
      <c r="J12" s="478">
        <f>IF(ISNUMBER((('Resol  Asuntos'!D12/NºAsuntos!G12)-Datos!BF12)/Datos!BF12),(('Resol  Asuntos'!D12/NºAsuntos!G12)-Datos!BF12)/Datos!BF12," - ")</f>
        <v>-0.16195788928359989</v>
      </c>
      <c r="K12" s="479">
        <f>IF(ISNUMBER((((NºAsuntos!C12+NºAsuntos!E12)/NºAsuntos!G12)-Datos!BG12)/Datos!BG12),(((NºAsuntos!C12+NºAsuntos!E12)/NºAsuntos!G12)-Datos!BG12)/Datos!BG12," - ")</f>
        <v>9.1541213680496045E-2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6.2103034580098804E-2</v>
      </c>
      <c r="C14" s="1002">
        <f>IF(ISNUMBER(
   IF(J_V="SI",(Datos!J14-Datos!T14)/Datos!T14,(Datos!J14+Datos!Z14-(Datos!T14+Datos!AH14))/(Datos!T14+Datos!AH14))
     ),IF(J_V="SI",(Datos!J14-Datos!T14)/Datos!T14,(Datos!J14+Datos!Z14-(Datos!T14+Datos!AH14))/(Datos!T14+Datos!AH14))," - ")</f>
        <v>6.6985645933014357E-2</v>
      </c>
      <c r="D14" s="1002">
        <f>IF(ISNUMBER(
   IF(J_V="SI",(Datos!K14-Datos!U14)/Datos!U14,(Datos!K14+Datos!AA14-(Datos!U14+Datos!AI14))/(Datos!U14+Datos!AI14))
     ),IF(J_V="SI",(Datos!K14-Datos!U14)/Datos!U14,(Datos!K14+Datos!AA14-(Datos!U14+Datos!AI14))/(Datos!U14+Datos!AI14))," - ")</f>
        <v>-2.2452504317789293E-2</v>
      </c>
      <c r="E14" s="1002">
        <f>IF(ISNUMBER(
   IF(J_V="SI",(Datos!L14-Datos!V14)/Datos!V14,(Datos!L14+Datos!AB14-(Datos!V14+Datos!AJ14))/(Datos!V14+Datos!AJ14))
     ),IF(J_V="SI",(Datos!L14-Datos!V14)/Datos!V14,(Datos!L14+Datos!AB14-(Datos!V14+Datos!AJ14))/(Datos!V14+Datos!AJ14))," - ")</f>
        <v>9.7610921501706485E-2</v>
      </c>
      <c r="F14" s="1003">
        <f>IF(ISNUMBER((Datos!M14-Datos!W14)/Datos!W14),(Datos!M14-Datos!W14)/Datos!W14," - ")</f>
        <v>0.14492753623188406</v>
      </c>
      <c r="G14" s="1004">
        <f>IF(ISNUMBER((Datos!N14-Datos!X14)/Datos!X14),(Datos!N14-Datos!X14)/Datos!X14," - ")</f>
        <v>-2.072538860103627E-2</v>
      </c>
      <c r="H14" s="1004">
        <f>IF(ISNUMBER(((NºAsuntos!G14/NºAsuntos!E14)-Datos!BD14)/Datos!BD14),((NºAsuntos!G14/NºAsuntos!E14)-Datos!BD14)/Datos!BD14," - ")</f>
        <v>-8.3823199113981894E-2</v>
      </c>
      <c r="I14" s="1004">
        <f>IF(ISNUMBER(((NºAsuntos!I14/NºAsuntos!G14)-Datos!BE14)/Datos!BE14),((NºAsuntos!I14/NºAsuntos!G14)-Datos!BE14)/Datos!BE14," - ")</f>
        <v>0.12282106634185179</v>
      </c>
      <c r="J14" s="1004">
        <f>IF(ISNUMBER((('Resol  Asuntos'!D14/NºAsuntos!G14)-Datos!BF14)/Datos!BF14),(('Resol  Asuntos'!D14/NºAsuntos!G14)-Datos!BF14)/Datos!BF14," - ")</f>
        <v>-0.16254416961130741</v>
      </c>
      <c r="K14" s="1004">
        <f>IF(ISNUMBER((((NºAsuntos!C14+NºAsuntos!E14)/NºAsuntos!G14)-Datos!BG14)/Datos!BG14),(((NºAsuntos!C14+NºAsuntos!E14)/NºAsuntos!G14)-Datos!BG14)/Datos!BG14," - ")</f>
        <v>8.8029776022902573E-2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0.10488245931283906</v>
      </c>
      <c r="C17" s="473">
        <f>IF(ISNUMBER(
   IF(D_I="SI",(Datos!J17-Datos!T17)/Datos!T17,(Datos!J17+Datos!AD17-(Datos!T17+Datos!AL17))/(Datos!T17+Datos!AL17))
     ),IF(D_I="SI",(Datos!J17-Datos!T17)/Datos!T17,(Datos!J17+Datos!AD17-(Datos!T17+Datos!AL17))/(Datos!T17+Datos!AL17))," - ")</f>
        <v>-0.12723214285714285</v>
      </c>
      <c r="D17" s="473">
        <f>IF(ISNUMBER(
   IF(D_I="SI",(Datos!K17-Datos!U17)/Datos!U17,(Datos!K17+Datos!AE17-(Datos!U17+Datos!AM17))/(Datos!U17+Datos!AM17))
     ),IF(D_I="SI",(Datos!K17-Datos!U17)/Datos!U17,(Datos!K17+Datos!AE17-(Datos!U17+Datos!AM17))/(Datos!U17+Datos!AM17))," - ")</f>
        <v>-0.41747572815533979</v>
      </c>
      <c r="E17" s="473">
        <f>IF(ISNUMBER(
   IF(D_I="SI",(Datos!L17-Datos!V17)/Datos!V17,(Datos!L17+Datos!AF17-(Datos!V17+Datos!AN17))/(Datos!V17+Datos!AN17))
     ),IF(D_I="SI",(Datos!L17-Datos!V17)/Datos!V17,(Datos!L17+Datos!AF17-(Datos!V17+Datos!AN17))/(Datos!V17+Datos!AN17))," - ")</f>
        <v>0.4346938775510204</v>
      </c>
      <c r="F17" s="473">
        <f>IF(ISNUMBER((Datos!M17-Datos!W17)/Datos!W17),(Datos!M17-Datos!W17)/Datos!W17," - ")</f>
        <v>-0.34782608695652173</v>
      </c>
      <c r="G17" s="474">
        <f>IF(ISNUMBER((Datos!N17-Datos!X17)/Datos!X17),(Datos!N17-Datos!X17)/Datos!X17," - ")</f>
        <v>-0.43333333333333335</v>
      </c>
      <c r="H17" s="472">
        <f>IF(ISNUMBER(((NºAsuntos!G17/NºAsuntos!E17)-Datos!BD17)/Datos!BD17),((NºAsuntos!G17/NºAsuntos!E17)-Datos!BD17)/Datos!BD17," - ")</f>
        <v>-0.33255531000918731</v>
      </c>
      <c r="I17" s="473">
        <f>IF(ISNUMBER(((NºAsuntos!I17/NºAsuntos!G17)-Datos!BE17)/Datos!BE17),((NºAsuntos!I17/NºAsuntos!G17)-Datos!BE17)/Datos!BE17," - ")</f>
        <v>1.4628911564625848</v>
      </c>
      <c r="J17" s="478">
        <f>IF(ISNUMBER((('Resol  Asuntos'!D17/NºAsuntos!G17)-Datos!BF17)/Datos!BF17),(('Resol  Asuntos'!D17/NºAsuntos!G17)-Datos!BF17)/Datos!BF17," - ")</f>
        <v>0.11956521739130449</v>
      </c>
      <c r="K17" s="479">
        <f>IF(ISNUMBER((((NºAsuntos!C17+NºAsuntos!E17)/NºAsuntos!G17)-Datos!BG17)/Datos!BG17),(((NºAsuntos!C17+NºAsuntos!E17)/NºAsuntos!G17)-Datos!BG17)/Datos!BG17," - ")</f>
        <v>0.7183816183816184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-0.51428571428571423</v>
      </c>
      <c r="C18" s="473">
        <f>IF(ISNUMBER(
   IF(D_I="SI",(Datos!J18-Datos!T18)/Datos!T18,(Datos!J18+Datos!AD18-(Datos!T18+Datos!AL18))/(Datos!T18+Datos!AL18))
     ),IF(D_I="SI",(Datos!J18-Datos!T18)/Datos!T18,(Datos!J18+Datos!AD18-(Datos!T18+Datos!AL18))/(Datos!T18+Datos!AL18))," - ")</f>
        <v>-0.47916666666666669</v>
      </c>
      <c r="D18" s="473">
        <f>IF(ISNUMBER(
   IF(D_I="SI",(Datos!K18-Datos!U18)/Datos!U18,(Datos!K18+Datos!AE18-(Datos!U18+Datos!AM18))/(Datos!U18+Datos!AM18))
     ),IF(D_I="SI",(Datos!K18-Datos!U18)/Datos!U18,(Datos!K18+Datos!AE18-(Datos!U18+Datos!AM18))/(Datos!U18+Datos!AM18))," - ")</f>
        <v>-0.57999999999999996</v>
      </c>
      <c r="E18" s="473">
        <f>IF(ISNUMBER(
   IF(D_I="SI",(Datos!L18-Datos!V18)/Datos!V18,(Datos!L18+Datos!AF18-(Datos!V18+Datos!AN18))/(Datos!V18+Datos!AN18))
     ),IF(D_I="SI",(Datos!L18-Datos!V18)/Datos!V18,(Datos!L18+Datos!AF18-(Datos!V18+Datos!AN18))/(Datos!V18+Datos!AN18))," - ")</f>
        <v>-0.36363636363636365</v>
      </c>
      <c r="F18" s="473">
        <f>IF(ISNUMBER((Datos!M18-Datos!W18)/Datos!W18),(Datos!M18-Datos!W18)/Datos!W18," - ")</f>
        <v>0</v>
      </c>
      <c r="G18" s="474">
        <f>IF(ISNUMBER((Datos!N18-Datos!X18)/Datos!X18),(Datos!N18-Datos!X18)/Datos!X18," - ")</f>
        <v>-0.61290322580645162</v>
      </c>
      <c r="H18" s="472">
        <f>IF(ISNUMBER(((NºAsuntos!G18/NºAsuntos!E18)-Datos!BD18)/Datos!BD18),((NºAsuntos!G18/NºAsuntos!E18)-Datos!BD18)/Datos!BD18," - ")</f>
        <v>-0.19360000000000008</v>
      </c>
      <c r="I18" s="473">
        <f>IF(ISNUMBER(((NºAsuntos!I18/NºAsuntos!G18)-Datos!BE18)/Datos!BE18),((NºAsuntos!I18/NºAsuntos!G18)-Datos!BE18)/Datos!BE18," - ")</f>
        <v>0.51515151515151503</v>
      </c>
      <c r="J18" s="478">
        <f>IF(ISNUMBER((('Resol  Asuntos'!D18/NºAsuntos!G18)-Datos!BF18)/Datos!BF18),(('Resol  Asuntos'!D18/NºAsuntos!G18)-Datos!BF18)/Datos!BF18," - ")</f>
        <v>1.3809523809523807</v>
      </c>
      <c r="K18" s="479">
        <f>IF(ISNUMBER((((NºAsuntos!C18+NºAsuntos!E18)/NºAsuntos!G18)-Datos!BG18)/Datos!BG18),(((NºAsuntos!C18+NºAsuntos!E18)/NºAsuntos!G18)-Datos!BG18)/Datos!BG18," - ")</f>
        <v>0.20481927710843378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6.8027210884353748E-2</v>
      </c>
      <c r="C20" s="1002">
        <f>IF(ISNUMBER(
   IF(Criterios!B14="SI",(Datos!J20-Datos!T20)/Datos!T20,(Datos!J20+Datos!AD20-(Datos!T20+Datos!AL20))/(Datos!T20+Datos!AL20))
     ),IF(Criterios!B14="SI",(Datos!J20-Datos!T20)/Datos!T20,(Datos!J20+Datos!AD20-(Datos!T20+Datos!AL20))/(Datos!T20+Datos!AL20))," - ")</f>
        <v>-0.16129032258064516</v>
      </c>
      <c r="D20" s="1002">
        <f>IF(ISNUMBER(
   IF(Criterios!B14="SI",(Datos!K20-Datos!U20)/Datos!U20,(Datos!K20+Datos!AE20-(Datos!U20+Datos!AM20))/(Datos!U20+Datos!AM20))
     ),IF(Criterios!B14="SI",(Datos!K20-Datos!U20)/Datos!U20,(Datos!K20+Datos!AE20-(Datos!U20+Datos!AM20))/(Datos!U20+Datos!AM20))," - ")</f>
        <v>-0.43185840707964601</v>
      </c>
      <c r="E20" s="1002">
        <f>IF(ISNUMBER(
   IF(Criterios!B14="SI",(Datos!L20-Datos!V20)/Datos!V20,(Datos!L20+Datos!AF20-(Datos!V20+Datos!AN20))/(Datos!V20+Datos!AN20))
     ),IF(Criterios!B14="SI",(Datos!L20-Datos!V20)/Datos!V20,(Datos!L20+Datos!AF20-(Datos!V20+Datos!AN20))/(Datos!V20+Datos!AN20))," - ")</f>
        <v>0.384321223709369</v>
      </c>
      <c r="F20" s="1003">
        <f>IF(ISNUMBER((Datos!M20-Datos!W20)/Datos!W20),(Datos!M20-Datos!W20)/Datos!W20," - ")</f>
        <v>-0.34042553191489361</v>
      </c>
      <c r="G20" s="1004">
        <f>IF(ISNUMBER((Datos!N20-Datos!X20)/Datos!X20),(Datos!N20-Datos!X20)/Datos!X20," - ")</f>
        <v>-0.45182724252491696</v>
      </c>
      <c r="H20" s="1004">
        <f>IF(ISNUMBER(((NºAsuntos!G20/NºAsuntos!E20)-Datos!BD20)/Datos!BD20),((NºAsuntos!G20/NºAsuntos!E20)-Datos!BD20)/Datos!BD20," - ")</f>
        <v>-0.32260040844111643</v>
      </c>
      <c r="I20" s="1004">
        <f>IF(ISNUMBER(((NºAsuntos!I20/NºAsuntos!G20)-Datos!BE20)/Datos!BE20),((NºAsuntos!I20/NºAsuntos!G20)-Datos!BE20)/Datos!BE20," - ")</f>
        <v>1.4365778548155559</v>
      </c>
      <c r="J20" s="1004">
        <f>IF(ISNUMBER((('Resol  Asuntos'!D20/NºAsuntos!G20)-Datos!BF20)/Datos!BF20),(('Resol  Asuntos'!D20/NºAsuntos!G20)-Datos!BF20)/Datos!BF20," - ")</f>
        <v>0.16093325379465764</v>
      </c>
      <c r="K20" s="1004">
        <f>IF(ISNUMBER((((NºAsuntos!C20+NºAsuntos!E20)/NºAsuntos!G20)-Datos!BG20)/Datos!BG20),(((NºAsuntos!C20+NºAsuntos!E20)/NºAsuntos!G20)-Datos!BG20)/Datos!BG20," - ")</f>
        <v>0.69517536296858295</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6.3840399002493761E-2</v>
      </c>
      <c r="C21" s="949">
        <f>IF(ISNUMBER(
   IF(J_V="SI",(Datos!J21-Datos!T21)/Datos!T21,(Datos!J21+Datos!Z21-(Datos!T21+Datos!AH21))/(Datos!T21+Datos!AH21))
     ),IF(J_V="SI",(Datos!J21-Datos!T21)/Datos!T21,(Datos!J21+Datos!Z21-(Datos!T21+Datos!AH21))/(Datos!T21+Datos!AH21))," - ")</f>
        <v>-3.3837934105075691E-2</v>
      </c>
      <c r="D21" s="949">
        <f>IF(ISNUMBER(
   IF(J_V="SI",(Datos!K21-Datos!U21)/Datos!U21,(Datos!K21+Datos!AA21-(Datos!U21+Datos!AI21))/(Datos!U21+Datos!AI21))
     ),IF(J_V="SI",(Datos!K21-Datos!U21)/Datos!U21,(Datos!K21+Datos!AA21-(Datos!U21+Datos!AI21))/(Datos!U21+Datos!AI21))," - ")</f>
        <v>-0.22465034965034966</v>
      </c>
      <c r="E21" s="949">
        <f>IF(ISNUMBER(
   IF(J_V="SI",(Datos!L21-Datos!V21)/Datos!V21,(Datos!L21+Datos!AB21-(Datos!V21+Datos!AJ21))/(Datos!V21+Datos!AJ21))
     ),IF(J_V="SI",(Datos!L21-Datos!V21)/Datos!V21,(Datos!L21+Datos!AB21-(Datos!V21+Datos!AJ21))/(Datos!V21+Datos!AJ21))," - ")</f>
        <v>0.17303822937625754</v>
      </c>
      <c r="F21" s="950">
        <f>IF(ISNUMBER((Datos!M21-Datos!W21)/Datos!W21),(Datos!M21-Datos!W21)/Datos!W21," - ")</f>
        <v>-5.1724137931034482E-2</v>
      </c>
      <c r="G21" s="951">
        <f>IF(ISNUMBER((Datos!N21-Datos!X21)/Datos!X21),(Datos!N21-Datos!X21)/Datos!X21," - ")</f>
        <v>-0.2834008097165992</v>
      </c>
      <c r="H21" s="952">
        <f>IF(ISNUMBER((Tasas!B21-Datos!BD21)/Datos!BD21),(Tasas!B21-Datos!BD21)/Datos!BD21," - ")</f>
        <v>-0.19749524668879512</v>
      </c>
      <c r="I21" s="953">
        <f>IF(ISNUMBER((Tasas!C21-Datos!BE21)/Datos!BE21),(Tasas!C21-Datos!BE21)/Datos!BE21," - ")</f>
        <v>0.5129151458922645</v>
      </c>
      <c r="J21" s="954">
        <f>IF(ISNUMBER((Tasas!D21-Datos!BF21)/Datos!BF21),(Tasas!D21-Datos!BF21)/Datos!BF21," - ")</f>
        <v>-1.1348593112280009E-2</v>
      </c>
      <c r="K21" s="954">
        <f>IF(ISNUMBER((Tasas!E21-Datos!BG21)/Datos!BG21),(Tasas!E21-Datos!BG21)/Datos!BG21," - ")</f>
        <v>0.32684960656484557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ZA+2dnC2ArazWGoxyHcdgf+kYJ3g7zRBbmkxXucjdrkAhqBXVA8Unb9trReIE7LPysn95Jox8qmKdKgUvGI+9Q==" saltValue="SfwxGMS/S8YUsA56pPue5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PONTEVEDRA</v>
      </c>
    </row>
    <row r="4" spans="1:7" ht="11.25" customHeight="1" thickBot="1">
      <c r="B4" s="403" t="str">
        <f>Criterios!A11 &amp;"  "&amp;Criterios!B11</f>
        <v>Resumenes por Partidos Judiciales  O PORRIÑO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1.5</v>
      </c>
      <c r="C10" s="460">
        <f>IF(ISNUMBER(NºAsuntos!I10/NºAsuntos!G10),NºAsuntos!I10/NºAsuntos!G10," - ")</f>
        <v>3.3333333333333335</v>
      </c>
      <c r="D10" s="461">
        <f>IF(ISNUMBER('Resol  Asuntos'!D10/NºAsuntos!G10),'Resol  Asuntos'!D10/NºAsuntos!G10," - ")</f>
        <v>0.33333333333333331</v>
      </c>
      <c r="E10" s="462">
        <f>IF(ISNUMBER((NºAsuntos!C10+NºAsuntos!E10)/NºAsuntos!G10),(NºAsuntos!C10+NºAsuntos!E10)/NºAsuntos!G10," - ")</f>
        <v>4.333333333333333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0.84407796101949029</v>
      </c>
      <c r="C12" s="460">
        <f>IF(ISNUMBER(NºAsuntos!I12/NºAsuntos!G12),NºAsuntos!I12/NºAsuntos!G12," - ")</f>
        <v>2.8383658969804619</v>
      </c>
      <c r="D12" s="461">
        <f>IF(ISNUMBER('Resol  Asuntos'!D12/NºAsuntos!G12),'Resol  Asuntos'!D12/NºAsuntos!G12," - ")</f>
        <v>0.27886323268206037</v>
      </c>
      <c r="E12" s="462">
        <f>IF(ISNUMBER((NºAsuntos!C12+NºAsuntos!E12)/NºAsuntos!G12),(NºAsuntos!C12+NºAsuntos!E12)/NºAsuntos!G12," - ")</f>
        <v>3.8383658969804619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0.84603886397608374</v>
      </c>
      <c r="C14" s="1006">
        <f>IF(ISNUMBER(NºAsuntos!I14/NºAsuntos!G14),NºAsuntos!I14/NºAsuntos!G14," - ")</f>
        <v>2.8409893992932864</v>
      </c>
      <c r="D14" s="1007">
        <f>IF(ISNUMBER('Resol  Asuntos'!D14/NºAsuntos!G14),'Resol  Asuntos'!D14/NºAsuntos!G14," - ")</f>
        <v>0.27915194346289751</v>
      </c>
      <c r="E14" s="1008">
        <f>IF(ISNUMBER((NºAsuntos!C14+NºAsuntos!E14)/NºAsuntos!G14),(NºAsuntos!C14+NºAsuntos!E14)/NºAsuntos!G14," - ")</f>
        <v>3.8409893992932864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0.76726342710997442</v>
      </c>
      <c r="C17" s="460">
        <f>IF(ISNUMBER(NºAsuntos!I17/NºAsuntos!G17),NºAsuntos!I17/NºAsuntos!G17," - ")</f>
        <v>2.3433333333333333</v>
      </c>
      <c r="D17" s="461">
        <f>IF(ISNUMBER('Resol  Asuntos'!D17/NºAsuntos!G17),'Resol  Asuntos'!D17/NºAsuntos!G17," - ")</f>
        <v>0.2</v>
      </c>
      <c r="E17" s="462">
        <f>IF(ISNUMBER((NºAsuntos!C17+NºAsuntos!E17)/NºAsuntos!G17),(NºAsuntos!C17+NºAsuntos!E17)/NºAsuntos!G17," - ")</f>
        <v>3.34</v>
      </c>
      <c r="G17" s="480"/>
    </row>
    <row r="18" spans="1:7">
      <c r="A18" s="414" t="str">
        <f>Datos!A18</f>
        <v>Jdos. Violencia contra la mujer</v>
      </c>
      <c r="B18" s="459">
        <f>IF(ISNUMBER(NºAsuntos!G18/NºAsuntos!E18),NºAsuntos!G18/NºAsuntos!E18," - ")</f>
        <v>0.84</v>
      </c>
      <c r="C18" s="460">
        <f>IF(ISNUMBER(NºAsuntos!I18/NºAsuntos!G18),NºAsuntos!I18/NºAsuntos!G18," - ")</f>
        <v>1</v>
      </c>
      <c r="D18" s="461">
        <f>IF(ISNUMBER('Resol  Asuntos'!D18/NºAsuntos!G18),'Resol  Asuntos'!D18/NºAsuntos!G18," - ")</f>
        <v>9.5238095238095233E-2</v>
      </c>
      <c r="E18" s="462">
        <f>IF(ISNUMBER((NºAsuntos!C18+NºAsuntos!E18)/NºAsuntos!G18),(NºAsuntos!C18+NºAsuntos!E18)/NºAsuntos!G18," - ")</f>
        <v>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0.77163461538461542</v>
      </c>
      <c r="C20" s="1006">
        <f>IF(ISNUMBER(NºAsuntos!I20/NºAsuntos!G20),NºAsuntos!I20/NºAsuntos!G20," - ")</f>
        <v>2.2554517133956384</v>
      </c>
      <c r="D20" s="1009">
        <f>IF(ISNUMBER('Resol  Asuntos'!D20/NºAsuntos!G20),'Resol  Asuntos'!D20/NºAsuntos!G20," - ")</f>
        <v>0.19314641744548286</v>
      </c>
      <c r="E20" s="1008">
        <f>IF(ISNUMBER((NºAsuntos!C20+NºAsuntos!E20)/NºAsuntos!G20),(NºAsuntos!C20+NºAsuntos!E20)/NºAsuntos!G20," - ")</f>
        <v>3.2523364485981308</v>
      </c>
      <c r="G20" s="480"/>
    </row>
    <row r="21" spans="1:7" ht="15.75" customHeight="1" thickTop="1" thickBot="1">
      <c r="A21" s="940" t="str">
        <f>Datos!A21</f>
        <v>TOTAL JURISDICCIONES</v>
      </c>
      <c r="B21" s="955">
        <f>IF(ISNUMBER(NºAsuntos!G21/NºAsuntos!E21),NºAsuntos!G21/NºAsuntos!E21," - ")</f>
        <v>0.81751152073732714</v>
      </c>
      <c r="C21" s="956">
        <f>IF(ISNUMBER(NºAsuntos!I21/NºAsuntos!G21),NºAsuntos!I21/NºAsuntos!G21," - ")</f>
        <v>2.6290868094701239</v>
      </c>
      <c r="D21" s="957">
        <f>IF(ISNUMBER('Resol  Asuntos'!D21/NºAsuntos!G21),'Resol  Asuntos'!D21/NºAsuntos!G21," - ")</f>
        <v>0.24802705749718151</v>
      </c>
      <c r="E21" s="958">
        <f>IF(ISNUMBER((NºAsuntos!C21+NºAsuntos!E21)/NºAsuntos!G21),(NºAsuntos!C21+NºAsuntos!E21)/NºAsuntos!G21," - ")</f>
        <v>3.6279594137542279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nJ2jUxfLMAacf+jakiODb5uHfMnEdp52EpC/X+FnwyWdtk7by5v5brtaPFNu7n0p3/OHGUQcobXryNf8xst0/g==" saltValue="HofnFz30ZB43GB7zxaK8k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PONTEVEDRA</v>
      </c>
      <c r="N2" s="339" t="str">
        <f>Criterios!A11 &amp;"  "&amp;Criterios!B11</f>
        <v>Resumenes por Partidos Judiciales  O PORRIÑO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11</v>
      </c>
      <c r="G10" s="343">
        <f>IF(ISNUMBER(Datos!I10),Datos!I10," - ")</f>
        <v>11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1</v>
      </c>
      <c r="Y10" s="344">
        <f t="shared" ref="Y10:Y13" si="0">SUM(W10:X10)</f>
        <v>4</v>
      </c>
      <c r="Z10" s="345" t="str">
        <f>IF(ISNUMBER(Datos!CC10),Datos!CC10," - ")</f>
        <v xml:space="preserve"> - </v>
      </c>
      <c r="AA10" s="342">
        <f>IF(ISNUMBER(Datos!L10),Datos!L10,"-")</f>
        <v>10</v>
      </c>
      <c r="AB10" s="344">
        <f>IF(ISNUMBER(Datos!R10),Datos!R10," - ")</f>
        <v>5</v>
      </c>
      <c r="AC10" s="344">
        <f t="shared" ref="AC10:AC13" si="1">IF(ISNUMBER(AA10+AB10),AA10+AB10," - ")</f>
        <v>15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1.5</v>
      </c>
      <c r="AM10" s="265">
        <f>IF(ISNUMBER(((NºAsuntos!I10/NºAsuntos!G10)*11)/factor_trimestre),((NºAsuntos!I10/NºAsuntos!G10)*11)/factor_trimestre," - ")</f>
        <v>10.000000000000002</v>
      </c>
      <c r="AN10" s="249">
        <f>IF(ISNUMBER('Resol  Asuntos'!D10/NºAsuntos!G10),'Resol  Asuntos'!D10/NºAsuntos!G10," - ")</f>
        <v>0.33333333333333331</v>
      </c>
      <c r="AO10" s="250">
        <f>IF(ISNUMBER((NºAsuntos!C10+NºAsuntos!E10)/NºAsuntos!G10),(NºAsuntos!C10+NºAsuntos!E10)/NºAsuntos!G10," - ")</f>
        <v>4.333333333333333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112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66</v>
      </c>
      <c r="Y12" s="344">
        <f t="shared" si="0"/>
        <v>66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1520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157</v>
      </c>
      <c r="AJ12" s="234" t="str">
        <f>IF(ISNUMBER(Datos!BW12),Datos!BW12," - ")</f>
        <v xml:space="preserve"> - </v>
      </c>
      <c r="AK12" s="233" t="str">
        <f>IF(ISNUMBER(Datos!BX12),Datos!BX12," - ")</f>
        <v xml:space="preserve"> - </v>
      </c>
      <c r="AL12" s="248">
        <f>IF(ISNUMBER(NºAsuntos!G12/NºAsuntos!E12),NºAsuntos!G12/NºAsuntos!E12," - ")</f>
        <v>0.84407796101949029</v>
      </c>
      <c r="AM12" s="265">
        <f>IF(ISNUMBER(((NºAsuntos!I12/NºAsuntos!G12)*11)/factor_trimestre),((NºAsuntos!I12/NºAsuntos!G12)*11)/factor_trimestre," - ")</f>
        <v>8.5150976909413867</v>
      </c>
      <c r="AN12" s="249">
        <f>IF(ISNUMBER('Resol  Asuntos'!D12/NºAsuntos!G12),'Resol  Asuntos'!D12/NºAsuntos!G12," - ")</f>
        <v>0.27886323268206037</v>
      </c>
      <c r="AO12" s="250">
        <f>IF(ISNUMBER((NºAsuntos!C12+NºAsuntos!E12)/NºAsuntos!G12),(NºAsuntos!C12+NºAsuntos!E12)/NºAsuntos!G12," - ")</f>
        <v>3.8383658969804619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11</v>
      </c>
      <c r="G14" s="1013">
        <f t="shared" si="5"/>
        <v>11</v>
      </c>
      <c r="H14" s="1012">
        <f t="shared" si="5"/>
        <v>0</v>
      </c>
      <c r="I14" s="1014">
        <f t="shared" si="5"/>
        <v>0</v>
      </c>
      <c r="J14" s="1014">
        <f t="shared" si="5"/>
        <v>0</v>
      </c>
      <c r="K14" s="1014">
        <f t="shared" si="5"/>
        <v>0</v>
      </c>
      <c r="L14" s="1014">
        <f t="shared" si="5"/>
        <v>112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67</v>
      </c>
      <c r="Y14" s="1015">
        <f t="shared" si="6"/>
        <v>70</v>
      </c>
      <c r="Z14" s="1015">
        <f t="shared" si="6"/>
        <v>0</v>
      </c>
      <c r="AA14" s="1015">
        <f t="shared" si="6"/>
        <v>10</v>
      </c>
      <c r="AB14" s="1015">
        <f t="shared" si="6"/>
        <v>1525</v>
      </c>
      <c r="AC14" s="1015">
        <f t="shared" si="6"/>
        <v>15</v>
      </c>
      <c r="AD14" s="1015">
        <f t="shared" si="6"/>
        <v>0</v>
      </c>
      <c r="AE14" s="1019">
        <f t="shared" si="6"/>
        <v>0</v>
      </c>
      <c r="AF14" s="1012">
        <f t="shared" si="6"/>
        <v>0</v>
      </c>
      <c r="AG14" s="1020">
        <f t="shared" si="6"/>
        <v>0</v>
      </c>
      <c r="AH14" s="1017">
        <f t="shared" si="6"/>
        <v>0</v>
      </c>
      <c r="AI14" s="1012">
        <f t="shared" si="6"/>
        <v>158</v>
      </c>
      <c r="AJ14" s="1014">
        <f t="shared" si="6"/>
        <v>0</v>
      </c>
      <c r="AK14" s="1017">
        <f>SUBTOTAL(9,AK9:AK13)</f>
        <v>0</v>
      </c>
      <c r="AL14" s="1021">
        <f>IF(ISNUMBER(NºAsuntos!G14/NºAsuntos!E14),NºAsuntos!G14/NºAsuntos!E14," - ")</f>
        <v>0.84603886397608374</v>
      </c>
      <c r="AM14" s="1021">
        <f>IF(ISNUMBER(((NºAsuntos!I14/NºAsuntos!G14)*11)/factor_trimestre),((NºAsuntos!I14/NºAsuntos!G14)*11)/factor_trimestre," - ")</f>
        <v>8.5229681978798588</v>
      </c>
      <c r="AN14" s="1022">
        <f>IF(ISNUMBER('Resol  Asuntos'!D14/NºAsuntos!G14),'Resol  Asuntos'!D14/NºAsuntos!G14," - ")</f>
        <v>0.27915194346289751</v>
      </c>
      <c r="AO14" s="1023">
        <f>IF(ISNUMBER((NºAsuntos!C14+NºAsuntos!E14)/NºAsuntos!G14),(NºAsuntos!C14+NºAsuntos!E14)/NºAsuntos!G14," - ")</f>
        <v>3.8409893992932864</v>
      </c>
      <c r="AP14" s="1024" t="str">
        <f t="shared" si="2"/>
        <v xml:space="preserve"> - </v>
      </c>
      <c r="AQ14" s="1024">
        <f>IF(ISNUMBER((H14-W14+K14)/(F14)),(H14-W14+K14)/(F14)," - ")</f>
        <v>-0.27272727272727271</v>
      </c>
      <c r="AR14" s="1025">
        <f>IF(ISNUMBER((Datos!P14-Datos!Q14)/(Datos!R14-Datos!P14+Datos!Q14)),(Datos!P14-Datos!Q14)/(Datos!R14-Datos!P14+Datos!Q14)," - ")</f>
        <v>3.0405405405405407E-2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612</v>
      </c>
      <c r="G17" s="343">
        <f>IF(ISNUMBER(IF(D_I="SI",Datos!I17,Datos!I17+Datos!AC17)),IF(D_I="SI",Datos!I17,Datos!I17+Datos!AC17)," - ")</f>
        <v>611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300</v>
      </c>
      <c r="X17" s="231">
        <f>IF(ISNUMBER(Datos!Q17),Datos!Q17," - ")</f>
        <v>3</v>
      </c>
      <c r="Y17" s="344">
        <f t="shared" ref="Y17:Y19" si="9">SUM(W17:X17)</f>
        <v>303</v>
      </c>
      <c r="Z17" s="345" t="str">
        <f>IF(ISNUMBER(Datos!CC17),Datos!CC17," - ")</f>
        <v xml:space="preserve"> - </v>
      </c>
      <c r="AA17" s="342">
        <f>IF(ISNUMBER(IF(D_I="SI",Datos!L17,Datos!L17+Datos!AF17)),IF(D_I="SI",Datos!L17,Datos!L17+Datos!AF17)," - ")</f>
        <v>703</v>
      </c>
      <c r="AB17" s="344">
        <f>IF(ISNUMBER(Datos!R17),Datos!R17," - ")</f>
        <v>72</v>
      </c>
      <c r="AC17" s="344">
        <f t="shared" si="8"/>
        <v>775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60</v>
      </c>
      <c r="AJ17" s="236" t="str">
        <f>IF(ISNUMBER(Datos!BW17),Datos!BW17," - ")</f>
        <v xml:space="preserve"> - </v>
      </c>
      <c r="AK17" s="237" t="str">
        <f>IF(ISNUMBER(Datos!BX17),Datos!BX17," - ")</f>
        <v xml:space="preserve"> - </v>
      </c>
      <c r="AL17" s="248">
        <f>IF(ISNUMBER(NºAsuntos!G17/NºAsuntos!E17),NºAsuntos!G17/NºAsuntos!E17," - ")</f>
        <v>0.76726342710997442</v>
      </c>
      <c r="AM17" s="265">
        <f>IF(ISNUMBER(((NºAsuntos!I17/NºAsuntos!G17)*11)/factor_trimestre),((NºAsuntos!I17/NºAsuntos!G17)*11)/factor_trimestre," - ")</f>
        <v>7.03</v>
      </c>
      <c r="AN17" s="249">
        <f>IF(ISNUMBER('Resol  Asuntos'!D17/NºAsuntos!G17),'Resol  Asuntos'!D17/NºAsuntos!G17," - ")</f>
        <v>0.2</v>
      </c>
      <c r="AO17" s="250">
        <f>IF(ISNUMBER((NºAsuntos!C17+NºAsuntos!E17)/NºAsuntos!G17),(NºAsuntos!C17+NºAsuntos!E17)/NºAsuntos!G17," - ")</f>
        <v>3.34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21</v>
      </c>
      <c r="X18" s="231">
        <f>IF(ISNUMBER(Datos!Q18),Datos!Q18," - ")</f>
        <v>0</v>
      </c>
      <c r="Y18" s="344">
        <f t="shared" si="9"/>
        <v>21</v>
      </c>
      <c r="Z18" s="345" t="str">
        <f>IF(ISNUMBER(Datos!CC18),Datos!CC18," - ")</f>
        <v xml:space="preserve"> - </v>
      </c>
      <c r="AA18" s="342">
        <f>IF(ISNUMBER(Datos!L18),Datos!L18,"-")</f>
        <v>21</v>
      </c>
      <c r="AB18" s="344">
        <f>IF(ISNUMBER(Datos!R18),Datos!R18," - ")</f>
        <v>1</v>
      </c>
      <c r="AC18" s="344">
        <f t="shared" si="8"/>
        <v>22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0.84</v>
      </c>
      <c r="AM18" s="265">
        <f>IF(ISNUMBER(((NºAsuntos!I18/NºAsuntos!G18)*11)/factor_trimestre),((NºAsuntos!I18/NºAsuntos!G18)*11)/factor_trimestre," - ")</f>
        <v>3</v>
      </c>
      <c r="AN18" s="249">
        <f>IF(ISNUMBER('Resol  Asuntos'!D18/NºAsuntos!G18),'Resol  Asuntos'!D18/NºAsuntos!G18," - ")</f>
        <v>9.5238095238095233E-2</v>
      </c>
      <c r="AO18" s="250">
        <f>IF(ISNUMBER((NºAsuntos!C18+NºAsuntos!E18)/NºAsuntos!G18),(NºAsuntos!C18+NºAsuntos!E18)/NºAsuntos!G18," - ")</f>
        <v>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612</v>
      </c>
      <c r="G20" s="1013">
        <f>SUBTOTAL(9,G16:G19)</f>
        <v>628</v>
      </c>
      <c r="H20" s="1012">
        <f t="shared" ref="H20:O20" si="12">SUBTOTAL(9,H15:H19)</f>
        <v>0</v>
      </c>
      <c r="I20" s="1014">
        <f t="shared" si="12"/>
        <v>0</v>
      </c>
      <c r="J20" s="1014">
        <f t="shared" si="12"/>
        <v>0</v>
      </c>
      <c r="K20" s="1014">
        <f t="shared" si="12"/>
        <v>0</v>
      </c>
      <c r="L20" s="1014">
        <f t="shared" si="12"/>
        <v>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321</v>
      </c>
      <c r="X20" s="1014">
        <f t="shared" si="13"/>
        <v>3</v>
      </c>
      <c r="Y20" s="1015">
        <f t="shared" si="13"/>
        <v>324</v>
      </c>
      <c r="Z20" s="1015">
        <f t="shared" si="13"/>
        <v>0</v>
      </c>
      <c r="AA20" s="1015">
        <f t="shared" si="13"/>
        <v>724</v>
      </c>
      <c r="AB20" s="1015">
        <f t="shared" si="13"/>
        <v>73</v>
      </c>
      <c r="AC20" s="1015">
        <f t="shared" si="13"/>
        <v>797</v>
      </c>
      <c r="AD20" s="1015">
        <f t="shared" si="13"/>
        <v>0</v>
      </c>
      <c r="AE20" s="1019">
        <f t="shared" si="13"/>
        <v>0</v>
      </c>
      <c r="AF20" s="1012">
        <f t="shared" si="13"/>
        <v>0</v>
      </c>
      <c r="AG20" s="1020">
        <f t="shared" si="13"/>
        <v>0</v>
      </c>
      <c r="AH20" s="1017">
        <f t="shared" si="13"/>
        <v>0</v>
      </c>
      <c r="AI20" s="1012">
        <f t="shared" si="13"/>
        <v>62</v>
      </c>
      <c r="AJ20" s="1014">
        <f t="shared" si="13"/>
        <v>0</v>
      </c>
      <c r="AK20" s="1017">
        <f t="shared" si="13"/>
        <v>0</v>
      </c>
      <c r="AL20" s="1021">
        <f>IF(ISNUMBER(NºAsuntos!G20/NºAsuntos!E20),NºAsuntos!G20/NºAsuntos!E20," - ")</f>
        <v>0.77163461538461542</v>
      </c>
      <c r="AM20" s="1021">
        <f>IF(ISNUMBER(((NºAsuntos!I20/NºAsuntos!G20)*11)/factor_trimestre),((NºAsuntos!I20/NºAsuntos!G20)*11)/factor_trimestre," - ")</f>
        <v>6.7663551401869162</v>
      </c>
      <c r="AN20" s="1022">
        <f>IF(ISNUMBER('Resol  Asuntos'!D20/NºAsuntos!G20),'Resol  Asuntos'!D20/NºAsuntos!G20," - ")</f>
        <v>0.19314641744548286</v>
      </c>
      <c r="AO20" s="1023">
        <f>IF(ISNUMBER((NºAsuntos!C20+NºAsuntos!E20)/NºAsuntos!G20),(NºAsuntos!C20+NºAsuntos!E20)/NºAsuntos!G20," - ")</f>
        <v>3.2523364485981308</v>
      </c>
      <c r="AP20" s="1024" t="str">
        <f t="shared" si="2"/>
        <v xml:space="preserve"> - </v>
      </c>
      <c r="AQ20" s="1024">
        <f>IF(ISNUMBER((H20-W20+K20)/(F20)),(H20-W20+K20)/(F20)," - ")</f>
        <v>-0.52450980392156865</v>
      </c>
      <c r="AR20" s="1025">
        <f>IF(ISNUMBER((Datos!P20-Datos!Q20)/(Datos!R20-Datos!P20+Datos!Q20)),(Datos!P20-Datos!Q20)/(Datos!R20-Datos!P20+Datos!Q20)," - ")</f>
        <v>5.7971014492753624E-2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623</v>
      </c>
      <c r="G21" s="968">
        <f t="shared" si="15"/>
        <v>639</v>
      </c>
      <c r="H21" s="967">
        <f t="shared" si="15"/>
        <v>0</v>
      </c>
      <c r="I21" s="969">
        <f t="shared" si="15"/>
        <v>0</v>
      </c>
      <c r="J21" s="969">
        <f t="shared" si="15"/>
        <v>0</v>
      </c>
      <c r="K21" s="1028">
        <f t="shared" si="15"/>
        <v>0</v>
      </c>
      <c r="L21" s="969">
        <f t="shared" si="15"/>
        <v>119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324</v>
      </c>
      <c r="X21" s="968">
        <f t="shared" si="16"/>
        <v>70</v>
      </c>
      <c r="Y21" s="975">
        <f t="shared" si="16"/>
        <v>394</v>
      </c>
      <c r="Z21" s="975">
        <f t="shared" si="16"/>
        <v>0</v>
      </c>
      <c r="AA21" s="975">
        <f t="shared" si="16"/>
        <v>734</v>
      </c>
      <c r="AB21" s="975">
        <f t="shared" si="16"/>
        <v>1598</v>
      </c>
      <c r="AC21" s="975">
        <f t="shared" si="16"/>
        <v>812</v>
      </c>
      <c r="AD21" s="975">
        <f t="shared" si="16"/>
        <v>0</v>
      </c>
      <c r="AE21" s="977">
        <f t="shared" si="16"/>
        <v>0</v>
      </c>
      <c r="AF21" s="978">
        <f t="shared" si="16"/>
        <v>0</v>
      </c>
      <c r="AG21" s="979">
        <f t="shared" si="16"/>
        <v>0</v>
      </c>
      <c r="AH21" s="977">
        <f t="shared" si="16"/>
        <v>0</v>
      </c>
      <c r="AI21" s="967">
        <f t="shared" si="16"/>
        <v>220</v>
      </c>
      <c r="AJ21" s="967">
        <f t="shared" si="16"/>
        <v>0</v>
      </c>
      <c r="AK21" s="977">
        <f t="shared" si="16"/>
        <v>0</v>
      </c>
      <c r="AL21" s="1031">
        <f>IF(ISNUMBER(NºAsuntos!G21/NºAsuntos!E21),NºAsuntos!G21/NºAsuntos!E21," - ")</f>
        <v>0.81751152073732714</v>
      </c>
      <c r="AM21" s="1032">
        <f>IF(ISNUMBER(((NºAsuntos!I21/NºAsuntos!G21)*11)/factor_trimestre),((NºAsuntos!I21/NºAsuntos!G21)*11)/factor_trimestre," - ")</f>
        <v>7.8872604284103716</v>
      </c>
      <c r="AN21" s="1032">
        <f>IF(ISNUMBER('Resol  Asuntos'!D21/NºAsuntos!G21),'Resol  Asuntos'!D21/NºAsuntos!G21," - ")</f>
        <v>0.24802705749718151</v>
      </c>
      <c r="AO21" s="1033">
        <f>IF(ISNUMBER((NºAsuntos!C21+NºAsuntos!E21)/NºAsuntos!G21),(NºAsuntos!C21+NºAsuntos!E21)/NºAsuntos!G21," - ")</f>
        <v>3.6279594137542279</v>
      </c>
      <c r="AP21" s="1034" t="str">
        <f t="shared" si="2"/>
        <v xml:space="preserve"> - </v>
      </c>
      <c r="AQ21" s="1035">
        <f>IF(OR(ISNUMBER(FIND("01",Criterios!A8,1)),ISNUMBER(FIND("02",Criterios!A8,1)),ISNUMBER(FIND("03",Criterios!A8,1)),ISNUMBER(FIND("04",Criterios!A8,1))),(I21-W21+K21)/(F21-K21),(H21-W21+K21)/(F21-K21))</f>
        <v>-0.5200642054574639</v>
      </c>
      <c r="AR21" s="1036">
        <f>IF(ISNUMBER((Datos!P21-Datos!Q21)/(Datos!R21-Datos!P21+Datos!Q21)),(Datos!P21-Datos!Q21)/(Datos!R21-Datos!P21+Datos!Q21)," - ")</f>
        <v>3.1633311814073597E-2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255.6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346.9875117829651</v>
      </c>
      <c r="G23" s="258">
        <f>IF(ISNUMBER(STDEV(G8:G20)),STDEV(G8:G20),"-")</f>
        <v>332.25712934412712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165.46842599118418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70.420640913489748</v>
      </c>
      <c r="AJ23" s="257">
        <f t="shared" si="20"/>
        <v>0</v>
      </c>
      <c r="AK23" s="259">
        <f t="shared" si="20"/>
        <v>0</v>
      </c>
      <c r="AL23" s="254">
        <f t="shared" si="20"/>
        <v>0.28247999722316181</v>
      </c>
      <c r="AM23" s="255">
        <f t="shared" si="20"/>
        <v>2.4128652254151519</v>
      </c>
      <c r="AN23" s="255">
        <f t="shared" si="20"/>
        <v>8.473517861517775E-2</v>
      </c>
      <c r="AO23" s="256">
        <f t="shared" si="20"/>
        <v>0.80450557052135208</v>
      </c>
      <c r="AP23" s="296" t="str">
        <f t="shared" si="20"/>
        <v>-</v>
      </c>
      <c r="AQ23" s="297">
        <f t="shared" si="20"/>
        <v>0.17803713519180012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xZqhJs+kREw5oJxOGbNnQVXHLv/h9+dgrn1D3IF7orazVwtHrz6ZhWe9VWSx2NR1WicjIqzq/yF4gR8+Rn673Q==" saltValue="pp2az9S6OpsHnVO8/NoD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PONTEVEDRA</v>
      </c>
      <c r="E3" s="268"/>
    </row>
    <row r="4" spans="2:20" ht="17.25" customHeight="1" thickBot="1">
      <c r="D4" s="267" t="str">
        <f>Criterios!A11 &amp;"  "&amp;Criterios!B11</f>
        <v>Resumenes por Partidos Judiciales  O PORRIÑO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v>
      </c>
      <c r="E10" s="358">
        <f>IF(ISNUMBER((Datos!J10-Datos!T10)/Datos!T10),(Datos!J10-Datos!T10)/Datos!T10," - ")</f>
        <v>-0.6</v>
      </c>
      <c r="F10" s="358">
        <f>IF(ISNUMBER((Datos!K10-Datos!U10)/Datos!U10),(Datos!K10-Datos!U10)/Datos!U10," - ")</f>
        <v>0.5</v>
      </c>
      <c r="G10" s="359">
        <f>IF(ISNUMBER((Datos!L10-Datos!V10)/Datos!V10),(Datos!L10-Datos!V10)/Datos!V10," - ")</f>
        <v>-0.23076923076923078</v>
      </c>
      <c r="H10" s="235">
        <f>IF(ISNUMBER((Datos!M10-Datos!W10)/Datos!W10),(Datos!M10-Datos!W10)/Datos!W10," - ")</f>
        <v>0</v>
      </c>
      <c r="I10" s="360">
        <f>IF(ISNUMBER((Tasas!C10-Datos!BE10)/Datos!BE10),(Tasas!C10-Datos!BE10)/Datos!BE10," - ")</f>
        <v>-0.48717948717948717</v>
      </c>
      <c r="J10" s="359">
        <f>IF(ISNUMBER((Tasas!D10-Datos!BF10)/Datos!BF10),(Tasas!D10-Datos!BF10)/Datos!BF10," - ")</f>
        <v>-0.33333333333333337</v>
      </c>
      <c r="K10" s="361">
        <f>IF(ISNUMBER((Tasas!E10-Datos!BG10)/Datos!BG10),(Tasas!E10-Datos!BG10)/Datos!BG10," - ")</f>
        <v>-0.42222222222222228</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0.145985401459854</v>
      </c>
      <c r="I12" s="360">
        <f>IF(ISNUMBER((Tasas!C12-Datos!BE12)/Datos!BE12),(Tasas!C12-Datos!BE12)/Datos!BE12," - ")</f>
        <v>0.12791812848328271</v>
      </c>
      <c r="J12" s="359">
        <f>IF(ISNUMBER((Tasas!D12-Datos!BF12)/Datos!BF12),(Tasas!D12-Datos!BF12)/Datos!BF12," - ")</f>
        <v>-0.16195788928359989</v>
      </c>
      <c r="K12" s="361">
        <f>IF(ISNUMBER((Tasas!E12-Datos!BG12)/Datos!BG12),(Tasas!E12-Datos!BG12)/Datos!BG12," - ")</f>
        <v>9.1541213680496045E-2</v>
      </c>
      <c r="M12" t="e">
        <f>IF(Monitorios="SI",Datos!CE12,0)</f>
        <v>#REF!</v>
      </c>
      <c r="N12" t="e">
        <f>IF(Monitorios="SI",Datos!CF12,0)</f>
        <v>#REF!</v>
      </c>
      <c r="O12" t="e">
        <f>IF(Monitorios="SI",Datos!CG12,0)</f>
        <v>#REF!</v>
      </c>
      <c r="P12" t="e">
        <f>IF(Monitorios="SI",Datos!CH12,0)</f>
        <v>#REF!</v>
      </c>
      <c r="Q12">
        <f>IF(J_V="SI",0,Datos!AG12)</f>
        <v>26</v>
      </c>
      <c r="R12">
        <f>IF(J_V="SI",0,Datos!AH12)</f>
        <v>69</v>
      </c>
      <c r="S12">
        <f>IF(J_V="SI",0,Datos!AI12)</f>
        <v>59</v>
      </c>
      <c r="T12">
        <f>IF(J_V="SI",0,Datos!AJ12)</f>
        <v>36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0.14492753623188406</v>
      </c>
      <c r="I14" s="367">
        <f>IF(ISNUMBER((Tasas!C14-Datos!BE14)/Datos!BE14),(Tasas!C14-Datos!BE14)/Datos!BE14," - ")</f>
        <v>0.12282106634185179</v>
      </c>
      <c r="J14" s="365">
        <f>IF(ISNUMBER((Tasas!D14-Datos!BF14)/Datos!BF14),(Tasas!D14-Datos!BF14)/Datos!BF14," - ")</f>
        <v>-0.16254416961130741</v>
      </c>
      <c r="K14" s="368">
        <f>IF(ISNUMBER((Tasas!E14-Datos!BG14)/Datos!BG14),(Tasas!E14-Datos!BG14)/Datos!BG14," - ")</f>
        <v>8.8029776022902573E-2</v>
      </c>
      <c r="M14" t="e">
        <f>IF(Monitorios="SI",Datos!CE14,0)</f>
        <v>#REF!</v>
      </c>
      <c r="N14" t="e">
        <f>IF(Monitorios="SI",Datos!CF14,0)</f>
        <v>#REF!</v>
      </c>
      <c r="O14" t="e">
        <f>IF(Monitorios="SI",Datos!CG14,0)</f>
        <v>#REF!</v>
      </c>
      <c r="P14" t="e">
        <f>IF(Monitorios="SI",Datos!CH14,0)</f>
        <v>#REF!</v>
      </c>
      <c r="Q14">
        <f>IF(J_V="SI",0,Datos!AG14)</f>
        <v>26</v>
      </c>
      <c r="R14">
        <f>IF(J_V="SI",0,Datos!AH14)</f>
        <v>69</v>
      </c>
      <c r="S14">
        <f>IF(J_V="SI",0,Datos!AI14)</f>
        <v>59</v>
      </c>
      <c r="T14">
        <f>IF(J_V="SI",0,Datos!AJ14)</f>
        <v>36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0.10488245931283906</v>
      </c>
      <c r="E17" s="358">
        <f>IF(ISNUMBER(
   IF(D_I="SI",(Datos!J17-Datos!T17)/Datos!T17,(Datos!J17+Datos!AD17-(Datos!T17+Datos!AL17))/(Datos!T17+Datos!AL17))
     ),IF(D_I="SI",(Datos!J17-Datos!T17)/Datos!T17,(Datos!J17+Datos!AD17-(Datos!T17+Datos!AL17))/(Datos!T17+Datos!AL17))," - ")</f>
        <v>-0.12723214285714285</v>
      </c>
      <c r="F17" s="358">
        <f>IF(ISNUMBER(
   IF(D_I="SI",(Datos!K17-Datos!U17)/Datos!U17,(Datos!K17+Datos!AE17-(Datos!U17+Datos!AM17))/(Datos!U17+Datos!AM17))
     ),IF(D_I="SI",(Datos!K17-Datos!U17)/Datos!U17,(Datos!K17+Datos!AE17-(Datos!U17+Datos!AM17))/(Datos!U17+Datos!AM17))," - ")</f>
        <v>-0.41747572815533979</v>
      </c>
      <c r="G17" s="359">
        <f>IF(ISNUMBER(
   IF(D_I="SI",(Datos!L17-Datos!V17)/Datos!V17,(Datos!L17+Datos!AF17-(Datos!V17+Datos!AN17))/(Datos!V17+Datos!AN17))
     ),IF(D_I="SI",(Datos!L17-Datos!V17)/Datos!V17,(Datos!L17+Datos!AF17-(Datos!V17+Datos!AN17))/(Datos!V17+Datos!AN17))," - ")</f>
        <v>0.4346938775510204</v>
      </c>
      <c r="H17" s="235">
        <f>IF(ISNUMBER((Datos!M17-Datos!W17)/Datos!W17),(Datos!M17-Datos!W17)/Datos!W17," - ")</f>
        <v>-0.34782608695652173</v>
      </c>
      <c r="I17" s="360">
        <f>IF(ISNUMBER((Tasas!C17-Datos!BE17)/Datos!BE17),(Tasas!C17-Datos!BE17)/Datos!BE17," - ")</f>
        <v>1.4628911564625848</v>
      </c>
      <c r="J17" s="359">
        <f>IF(ISNUMBER((Tasas!D17-Datos!BF17)/Datos!BF17),(Tasas!D17-Datos!BF17)/Datos!BF17," - ")</f>
        <v>0.11956521739130449</v>
      </c>
      <c r="K17" s="361">
        <f>IF(ISNUMBER((Tasas!E17-Datos!BG17)/Datos!BG17),(Tasas!E17-Datos!BG17)/Datos!BG17," - ")</f>
        <v>0.7183816183816184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-0.51428571428571423</v>
      </c>
      <c r="E18" s="358">
        <f>IF(ISNUMBER(
   IF(D_I="SI",(Datos!J18-Datos!T18)/Datos!T18,(Datos!J18+Datos!AD18-(Datos!T18+Datos!AL18))/(Datos!T18+Datos!AL18))
     ),IF(D_I="SI",(Datos!J18-Datos!T18)/Datos!T18,(Datos!J18+Datos!AD18-(Datos!T18+Datos!AL18))/(Datos!T18+Datos!AL18))," - ")</f>
        <v>-0.47916666666666669</v>
      </c>
      <c r="F18" s="358">
        <f>IF(ISNUMBER(
   IF(D_I="SI",(Datos!K18-Datos!U18)/Datos!U18,(Datos!K18+Datos!AE18-(Datos!U18+Datos!AM18))/(Datos!U18+Datos!AM18))
     ),IF(D_I="SI",(Datos!K18-Datos!U18)/Datos!U18,(Datos!K18+Datos!AE18-(Datos!U18+Datos!AM18))/(Datos!U18+Datos!AM18))," - ")</f>
        <v>-0.57999999999999996</v>
      </c>
      <c r="G18" s="359">
        <f>IF(ISNUMBER(
   IF(D_I="SI",(Datos!L18-Datos!V18)/Datos!V18,(Datos!L18+Datos!AF18-(Datos!V18+Datos!AN18))/(Datos!V18+Datos!AN18))
     ),IF(D_I="SI",(Datos!L18-Datos!V18)/Datos!V18,(Datos!L18+Datos!AF18-(Datos!V18+Datos!AN18))/(Datos!V18+Datos!AN18))," - ")</f>
        <v>-0.36363636363636365</v>
      </c>
      <c r="H18" s="235">
        <f>IF(ISNUMBER((Datos!M18-Datos!W18)/Datos!W18),(Datos!M18-Datos!W18)/Datos!W18," - ")</f>
        <v>0</v>
      </c>
      <c r="I18" s="360">
        <f>IF(ISNUMBER((Tasas!C18-Datos!BE18)/Datos!BE18),(Tasas!C18-Datos!BE18)/Datos!BE18," - ")</f>
        <v>0.51515151515151503</v>
      </c>
      <c r="J18" s="359">
        <f>IF(ISNUMBER((Tasas!D18-Datos!BF18)/Datos!BF18),(Tasas!D18-Datos!BF18)/Datos!BF18," - ")</f>
        <v>1.3809523809523807</v>
      </c>
      <c r="K18" s="361">
        <f>IF(ISNUMBER((Tasas!E18-Datos!BG18)/Datos!BG18),(Tasas!E18-Datos!BG18)/Datos!BG18," - ")</f>
        <v>0.20481927710843378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6.8027210884353748E-2</v>
      </c>
      <c r="E20" s="364">
        <f>IF(ISNUMBER(
   IF(D_I="SI",(Datos!J20-Datos!T20)/Datos!T20,(Datos!J20+Datos!AD20-(Datos!T20+Datos!AL20))/(Datos!T20+Datos!AL20))
     ),IF(D_I="SI",(Datos!J20-Datos!T20)/Datos!T20,(Datos!J20+Datos!AD20-(Datos!T20+Datos!AL20))/(Datos!T20+Datos!AL20))," - ")</f>
        <v>-0.16129032258064516</v>
      </c>
      <c r="F20" s="364">
        <f>IF(ISNUMBER(
   IF(D_I="SI",(Datos!K20-Datos!U20)/Datos!U20,(Datos!K20+Datos!AE20-(Datos!U20+Datos!AM20))/(Datos!U20+Datos!AM20))
     ),IF(D_I="SI",(Datos!K20-Datos!U20)/Datos!U20,(Datos!K20+Datos!AE20-(Datos!U20+Datos!AM20))/(Datos!U20+Datos!AM20))," - ")</f>
        <v>-0.43185840707964601</v>
      </c>
      <c r="G20" s="365">
        <f>IF(ISNUMBER(
   IF(D_I="SI",(Datos!L20-Datos!V20)/Datos!V20,(Datos!L20+Datos!AF20-(Datos!V20+Datos!AN20))/(Datos!V20+Datos!AN20))
     ),IF(D_I="SI",(Datos!L20-Datos!V20)/Datos!V20,(Datos!L20+Datos!AF20-(Datos!V20+Datos!AN20))/(Datos!V20+Datos!AN20))," - ")</f>
        <v>0.384321223709369</v>
      </c>
      <c r="H20" s="366">
        <f>IF(ISNUMBER((Datos!M20-Datos!W20)/Datos!W20),(Datos!M20-Datos!W20)/Datos!W20," - ")</f>
        <v>-0.34042553191489361</v>
      </c>
      <c r="I20" s="367">
        <f>IF(ISNUMBER((Tasas!C20-Datos!BE20)/Datos!BE20),(Tasas!C20-Datos!BE20)/Datos!BE20," - ")</f>
        <v>1.4365778548155559</v>
      </c>
      <c r="J20" s="365">
        <f>IF(ISNUMBER((Tasas!D20-Datos!BF20)/Datos!BF20),(Tasas!D20-Datos!BF20)/Datos!BF20," - ")</f>
        <v>0.16093325379465764</v>
      </c>
      <c r="K20" s="368">
        <f>IF(ISNUMBER((Tasas!E20-Datos!BG20)/Datos!BG20),(Tasas!E20-Datos!BG20)/Datos!BG20," - ")</f>
        <v>0.69517536296858295</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6.3840399002493761E-2</v>
      </c>
      <c r="E21" s="373">
        <f>IF(ISNUMBER(
   IF(J_V="SI",(Datos!J21-Datos!T21)/Datos!T21,(Datos!J21+Datos!Z21-(Datos!T21+Datos!AH21))/(Datos!T21+Datos!AH21))
     ),IF(J_V="SI",(Datos!J21-Datos!T21)/Datos!T21,(Datos!J21+Datos!Z21-(Datos!T21+Datos!AH21))/(Datos!T21+Datos!AH21))," - ")</f>
        <v>-3.3837934105075691E-2</v>
      </c>
      <c r="F21" s="373">
        <f>IF(ISNUMBER(
   IF(J_V="SI",(Datos!K21-Datos!U21)/Datos!U21,(Datos!K21+Datos!AA21-(Datos!U21+Datos!AI21))/(Datos!U21+Datos!AI21))
     ),IF(J_V="SI",(Datos!K21-Datos!U21)/Datos!U21,(Datos!K21+Datos!AA21-(Datos!U21+Datos!AI21))/(Datos!U21+Datos!AI21))," - ")</f>
        <v>-0.22465034965034966</v>
      </c>
      <c r="G21" s="374">
        <f>IF(ISNUMBER(
   IF(J_V="SI",(Datos!L21-Datos!V21)/Datos!V21,(Datos!L21+Datos!AB21-(Datos!V21+Datos!AJ21))/(Datos!V21+Datos!AJ21))
     ),IF(J_V="SI",(Datos!L21-Datos!V21)/Datos!V21,(Datos!L21+Datos!AB21-(Datos!V21+Datos!AJ21))/(Datos!V21+Datos!AJ21))," - ")</f>
        <v>0.17303822937625754</v>
      </c>
      <c r="H21" s="375">
        <f>IF(ISNUMBER((Datos!M21-Datos!W21)/Datos!W21),(Datos!M21-Datos!W21)/Datos!W21," - ")</f>
        <v>-5.1724137931034482E-2</v>
      </c>
      <c r="I21" s="372">
        <f>IF(ISNUMBER((Tasas!C21-Datos!BE21)/Datos!BE21),(Tasas!C21-Datos!BE21)/Datos!BE21," - ")</f>
        <v>0.5129151458922645</v>
      </c>
      <c r="J21" s="373">
        <f>IF(ISNUMBER((Tasas!D21-Datos!BF21)/Datos!BF21),(Tasas!D21-Datos!BF21)/Datos!BF21," - ")</f>
        <v>-1.1348593112280009E-2</v>
      </c>
      <c r="K21" s="374">
        <f>IF(ISNUMBER((Tasas!E21-Datos!BG21)/Datos!BG21),(Tasas!E21-Datos!BG21)/Datos!BG21," - ")</f>
        <v>0.32684960656484557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0.30306887498038299</v>
      </c>
      <c r="E23" s="283">
        <f t="shared" si="1"/>
        <v>0.23392298608692719</v>
      </c>
      <c r="F23" s="283">
        <f t="shared" si="1"/>
        <v>0.49371793014364002</v>
      </c>
      <c r="G23" s="284">
        <f t="shared" si="1"/>
        <v>0.41212257697596072</v>
      </c>
      <c r="H23" s="290">
        <f t="shared" si="1"/>
        <v>0.22488897400764762</v>
      </c>
      <c r="I23" s="282">
        <f t="shared" si="1"/>
        <v>0.78160192768209014</v>
      </c>
      <c r="J23" s="283">
        <f t="shared" si="1"/>
        <v>0.62339600726504385</v>
      </c>
      <c r="K23" s="284">
        <f t="shared" si="1"/>
        <v>0.42901187712147992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PBpUVocX7vwOaIYkIHSKMdYNo4jij9hcBlZ2W15QtMPD6RYJGfQX6ZHrnQ/C1hPG5hmrpvxO9X/ThPyNGPkZaQ==" saltValue="ZTu1qA1FVzeUwyzGplGBS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